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kuprijanovas\Desktop\"/>
    </mc:Choice>
  </mc:AlternateContent>
  <xr:revisionPtr revIDLastSave="0" documentId="8_{4C9A6449-D141-430A-AE57-7F6A0AAB33F6}" xr6:coauthVersionLast="47" xr6:coauthVersionMax="47" xr10:uidLastSave="{00000000-0000-0000-0000-000000000000}"/>
  <bookViews>
    <workbookView xWindow="-120" yWindow="-120" windowWidth="29040" windowHeight="15720" tabRatio="599" xr2:uid="{4842B458-1FA5-4C25-821F-0481CFE8C13E}"/>
  </bookViews>
  <sheets>
    <sheet name="1" sheetId="44" r:id="rId1"/>
    <sheet name="2" sheetId="49" r:id="rId2"/>
    <sheet name="3" sheetId="48" r:id="rId3"/>
    <sheet name="4" sheetId="47" r:id="rId4"/>
    <sheet name="5" sheetId="41" r:id="rId5"/>
  </sheets>
  <definedNames>
    <definedName name="_xlnm.Print_Area" localSheetId="0">'1'!$A$1:$E$37</definedName>
    <definedName name="_xlnm.Print_Area" localSheetId="1">'2'!$A$1:$X$140</definedName>
    <definedName name="_xlnm.Print_Area" localSheetId="2">'3'!$A$1:$D$54</definedName>
    <definedName name="_xlnm.Print_Area" localSheetId="3">'4'!$A$1:$G$48</definedName>
    <definedName name="_xlnm.Print_Area" localSheetId="4">'5'!$B$1:$S$25</definedName>
    <definedName name="_xlnm.Print_Titles" localSheetId="0">'1'!$5:$7</definedName>
    <definedName name="_xlnm.Print_Titles" localSheetId="1">'2'!$8:$8</definedName>
    <definedName name="_xlnm.Print_Titles" localSheetId="2">'3'!$6:$6</definedName>
    <definedName name="_xlnm.Print_Titles" localSheetId="3">'4'!$6:$6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7" i="44" l="1"/>
  <c r="D37" i="44"/>
  <c r="C36" i="44"/>
  <c r="B36" i="44"/>
  <c r="E33" i="44"/>
  <c r="D33" i="44"/>
  <c r="E32" i="44"/>
  <c r="D32" i="44"/>
  <c r="E31" i="44"/>
  <c r="D31" i="44"/>
  <c r="E30" i="44"/>
  <c r="D30" i="44"/>
  <c r="C29" i="44"/>
  <c r="B29" i="44"/>
  <c r="E28" i="44"/>
  <c r="D28" i="44"/>
  <c r="C27" i="44"/>
  <c r="B27" i="44"/>
  <c r="E26" i="44"/>
  <c r="D26" i="44"/>
  <c r="C25" i="44"/>
  <c r="E25" i="44" s="1"/>
  <c r="E24" i="44"/>
  <c r="D24" i="44"/>
  <c r="E23" i="44"/>
  <c r="D23" i="44"/>
  <c r="E22" i="44"/>
  <c r="D22" i="44"/>
  <c r="C21" i="44"/>
  <c r="D21" i="44" s="1"/>
  <c r="B21" i="44"/>
  <c r="E20" i="44"/>
  <c r="D20" i="44"/>
  <c r="C19" i="44"/>
  <c r="D19" i="44" s="1"/>
  <c r="C18" i="44"/>
  <c r="B18" i="44"/>
  <c r="E17" i="44"/>
  <c r="D17" i="44"/>
  <c r="E16" i="44"/>
  <c r="D16" i="44"/>
  <c r="E15" i="44"/>
  <c r="D15" i="44"/>
  <c r="E14" i="44"/>
  <c r="D14" i="44"/>
  <c r="E13" i="44"/>
  <c r="D13" i="44"/>
  <c r="C12" i="44"/>
  <c r="C8" i="44" s="1"/>
  <c r="B12" i="44"/>
  <c r="E11" i="44"/>
  <c r="D11" i="44"/>
  <c r="E10" i="44"/>
  <c r="D10" i="44"/>
  <c r="E19" i="44" l="1"/>
  <c r="E21" i="44"/>
  <c r="E29" i="44"/>
  <c r="E12" i="44"/>
  <c r="B8" i="44"/>
  <c r="B34" i="44" s="1"/>
  <c r="B38" i="44" s="1"/>
  <c r="D29" i="44"/>
  <c r="E18" i="44"/>
  <c r="D27" i="44"/>
  <c r="D36" i="44"/>
  <c r="C34" i="44"/>
  <c r="D12" i="44"/>
  <c r="E36" i="44"/>
  <c r="D18" i="44"/>
  <c r="D25" i="44"/>
  <c r="E27" i="44"/>
  <c r="E8" i="44" l="1"/>
  <c r="E34" i="44" s="1"/>
  <c r="E38" i="44" s="1"/>
  <c r="D8" i="44"/>
  <c r="D34" i="44"/>
  <c r="C38" i="44"/>
  <c r="D38" i="44" s="1"/>
  <c r="D139" i="49" l="1"/>
  <c r="E139" i="49"/>
  <c r="G139" i="49"/>
  <c r="J139" i="49"/>
  <c r="K139" i="49"/>
  <c r="L139" i="49"/>
  <c r="M139" i="49"/>
  <c r="N139" i="49"/>
  <c r="O139" i="49"/>
  <c r="P139" i="49"/>
  <c r="Q139" i="49"/>
  <c r="R139" i="49"/>
  <c r="S139" i="49"/>
  <c r="T139" i="49"/>
  <c r="V139" i="49"/>
  <c r="W139" i="49"/>
  <c r="X139" i="49"/>
  <c r="Y139" i="49"/>
  <c r="F136" i="49"/>
  <c r="C136" i="49" s="1"/>
  <c r="F135" i="49"/>
  <c r="C135" i="49" s="1"/>
  <c r="F134" i="49"/>
  <c r="C134" i="49" s="1"/>
  <c r="F133" i="49"/>
  <c r="C133" i="49" s="1"/>
  <c r="U132" i="49"/>
  <c r="F132" i="49" s="1"/>
  <c r="C132" i="49" s="1"/>
  <c r="F130" i="49"/>
  <c r="C130" i="49" s="1"/>
  <c r="F129" i="49"/>
  <c r="C129" i="49" s="1"/>
  <c r="F128" i="49"/>
  <c r="C128" i="49" s="1"/>
  <c r="F127" i="49"/>
  <c r="C127" i="49" s="1"/>
  <c r="F126" i="49"/>
  <c r="C126" i="49" s="1"/>
  <c r="U138" i="49"/>
  <c r="F138" i="49" s="1"/>
  <c r="C138" i="49" s="1"/>
  <c r="U137" i="49"/>
  <c r="F137" i="49" s="1"/>
  <c r="C137" i="49" s="1"/>
  <c r="F124" i="49"/>
  <c r="C124" i="49" s="1"/>
  <c r="F122" i="49"/>
  <c r="C122" i="49" s="1"/>
  <c r="F121" i="49"/>
  <c r="C121" i="49" s="1"/>
  <c r="F120" i="49"/>
  <c r="C120" i="49" s="1"/>
  <c r="F119" i="49"/>
  <c r="C119" i="49" s="1"/>
  <c r="F118" i="49"/>
  <c r="C118" i="49" s="1"/>
  <c r="F117" i="49"/>
  <c r="C117" i="49" s="1"/>
  <c r="F116" i="49"/>
  <c r="C116" i="49" s="1"/>
  <c r="F115" i="49"/>
  <c r="C115" i="49" s="1"/>
  <c r="F113" i="49"/>
  <c r="C113" i="49" s="1"/>
  <c r="F111" i="49"/>
  <c r="C111" i="49" s="1"/>
  <c r="F110" i="49"/>
  <c r="C110" i="49" s="1"/>
  <c r="F109" i="49"/>
  <c r="C109" i="49" s="1"/>
  <c r="F108" i="49"/>
  <c r="C108" i="49" s="1"/>
  <c r="F107" i="49"/>
  <c r="C107" i="49" s="1"/>
  <c r="F106" i="49"/>
  <c r="F104" i="49"/>
  <c r="C104" i="49" s="1"/>
  <c r="F103" i="49"/>
  <c r="C103" i="49" s="1"/>
  <c r="F102" i="49"/>
  <c r="C102" i="49" s="1"/>
  <c r="F101" i="49"/>
  <c r="C101" i="49" s="1"/>
  <c r="F100" i="49"/>
  <c r="C100" i="49" s="1"/>
  <c r="F99" i="49"/>
  <c r="C99" i="49" s="1"/>
  <c r="F98" i="49"/>
  <c r="C98" i="49" s="1"/>
  <c r="F97" i="49"/>
  <c r="C97" i="49" s="1"/>
  <c r="F96" i="49"/>
  <c r="C96" i="49" s="1"/>
  <c r="F95" i="49"/>
  <c r="C95" i="49" s="1"/>
  <c r="F94" i="49"/>
  <c r="C94" i="49" s="1"/>
  <c r="F93" i="49"/>
  <c r="F92" i="49"/>
  <c r="C92" i="49" s="1"/>
  <c r="M88" i="49"/>
  <c r="F88" i="49" s="1"/>
  <c r="C88" i="49" s="1"/>
  <c r="O87" i="49"/>
  <c r="F87" i="49" s="1"/>
  <c r="C87" i="49" s="1"/>
  <c r="Y86" i="49"/>
  <c r="X86" i="49"/>
  <c r="W86" i="49"/>
  <c r="V86" i="49"/>
  <c r="U86" i="49"/>
  <c r="T86" i="49"/>
  <c r="S86" i="49"/>
  <c r="R86" i="49"/>
  <c r="Q86" i="49"/>
  <c r="P86" i="49"/>
  <c r="N86" i="49"/>
  <c r="L86" i="49"/>
  <c r="K86" i="49"/>
  <c r="J86" i="49"/>
  <c r="I86" i="49"/>
  <c r="H86" i="49"/>
  <c r="G86" i="49"/>
  <c r="E86" i="49"/>
  <c r="D86" i="49"/>
  <c r="F85" i="49"/>
  <c r="C85" i="49" s="1"/>
  <c r="O84" i="49"/>
  <c r="F84" i="49" s="1"/>
  <c r="Y83" i="49"/>
  <c r="X83" i="49"/>
  <c r="W83" i="49"/>
  <c r="V83" i="49"/>
  <c r="U83" i="49"/>
  <c r="T83" i="49"/>
  <c r="S83" i="49"/>
  <c r="R83" i="49"/>
  <c r="Q83" i="49"/>
  <c r="P83" i="49"/>
  <c r="N83" i="49"/>
  <c r="M83" i="49"/>
  <c r="L83" i="49"/>
  <c r="K83" i="49"/>
  <c r="J83" i="49"/>
  <c r="I83" i="49"/>
  <c r="H83" i="49"/>
  <c r="G83" i="49"/>
  <c r="E83" i="49"/>
  <c r="D83" i="49"/>
  <c r="F82" i="49"/>
  <c r="C82" i="49" s="1"/>
  <c r="O81" i="49"/>
  <c r="F81" i="49" s="1"/>
  <c r="Y80" i="49"/>
  <c r="X80" i="49"/>
  <c r="W80" i="49"/>
  <c r="V80" i="49"/>
  <c r="U80" i="49"/>
  <c r="T80" i="49"/>
  <c r="S80" i="49"/>
  <c r="R80" i="49"/>
  <c r="Q80" i="49"/>
  <c r="P80" i="49"/>
  <c r="N80" i="49"/>
  <c r="M80" i="49"/>
  <c r="L80" i="49"/>
  <c r="K80" i="49"/>
  <c r="J80" i="49"/>
  <c r="I80" i="49"/>
  <c r="H80" i="49"/>
  <c r="G80" i="49"/>
  <c r="E80" i="49"/>
  <c r="D80" i="49"/>
  <c r="M79" i="49"/>
  <c r="F79" i="49" s="1"/>
  <c r="C79" i="49" s="1"/>
  <c r="O78" i="49"/>
  <c r="F78" i="49" s="1"/>
  <c r="Y77" i="49"/>
  <c r="X77" i="49"/>
  <c r="W77" i="49"/>
  <c r="V77" i="49"/>
  <c r="U77" i="49"/>
  <c r="T77" i="49"/>
  <c r="S77" i="49"/>
  <c r="R77" i="49"/>
  <c r="Q77" i="49"/>
  <c r="P77" i="49"/>
  <c r="N77" i="49"/>
  <c r="L77" i="49"/>
  <c r="K77" i="49"/>
  <c r="J77" i="49"/>
  <c r="I77" i="49"/>
  <c r="H77" i="49"/>
  <c r="G77" i="49"/>
  <c r="E77" i="49"/>
  <c r="D77" i="49"/>
  <c r="F76" i="49"/>
  <c r="C76" i="49" s="1"/>
  <c r="U75" i="49"/>
  <c r="O75" i="49"/>
  <c r="O74" i="49" s="1"/>
  <c r="Y74" i="49"/>
  <c r="X74" i="49"/>
  <c r="W74" i="49"/>
  <c r="V74" i="49"/>
  <c r="U74" i="49"/>
  <c r="T74" i="49"/>
  <c r="S74" i="49"/>
  <c r="R74" i="49"/>
  <c r="Q74" i="49"/>
  <c r="P74" i="49"/>
  <c r="N74" i="49"/>
  <c r="M74" i="49"/>
  <c r="L74" i="49"/>
  <c r="K74" i="49"/>
  <c r="J74" i="49"/>
  <c r="I74" i="49"/>
  <c r="H74" i="49"/>
  <c r="G74" i="49"/>
  <c r="E74" i="49"/>
  <c r="D74" i="49"/>
  <c r="M73" i="49"/>
  <c r="F73" i="49" s="1"/>
  <c r="C73" i="49" s="1"/>
  <c r="Q72" i="49"/>
  <c r="Q71" i="49" s="1"/>
  <c r="O72" i="49"/>
  <c r="O71" i="49" s="1"/>
  <c r="Y71" i="49"/>
  <c r="X71" i="49"/>
  <c r="W71" i="49"/>
  <c r="V71" i="49"/>
  <c r="U71" i="49"/>
  <c r="T71" i="49"/>
  <c r="S71" i="49"/>
  <c r="R71" i="49"/>
  <c r="P71" i="49"/>
  <c r="N71" i="49"/>
  <c r="L71" i="49"/>
  <c r="K71" i="49"/>
  <c r="J71" i="49"/>
  <c r="I71" i="49"/>
  <c r="H71" i="49"/>
  <c r="G71" i="49"/>
  <c r="E71" i="49"/>
  <c r="D71" i="49"/>
  <c r="F70" i="49"/>
  <c r="C70" i="49" s="1"/>
  <c r="U69" i="49"/>
  <c r="U68" i="49" s="1"/>
  <c r="O69" i="49"/>
  <c r="O68" i="49" s="1"/>
  <c r="Y68" i="49"/>
  <c r="X68" i="49"/>
  <c r="W68" i="49"/>
  <c r="V68" i="49"/>
  <c r="T68" i="49"/>
  <c r="S68" i="49"/>
  <c r="R68" i="49"/>
  <c r="Q68" i="49"/>
  <c r="P68" i="49"/>
  <c r="N68" i="49"/>
  <c r="M68" i="49"/>
  <c r="L68" i="49"/>
  <c r="K68" i="49"/>
  <c r="J68" i="49"/>
  <c r="I68" i="49"/>
  <c r="H68" i="49"/>
  <c r="G68" i="49"/>
  <c r="E68" i="49"/>
  <c r="D68" i="49"/>
  <c r="M67" i="49"/>
  <c r="F67" i="49" s="1"/>
  <c r="C67" i="49" s="1"/>
  <c r="Q66" i="49"/>
  <c r="O66" i="49"/>
  <c r="O65" i="49" s="1"/>
  <c r="Y65" i="49"/>
  <c r="X65" i="49"/>
  <c r="W65" i="49"/>
  <c r="V65" i="49"/>
  <c r="U65" i="49"/>
  <c r="T65" i="49"/>
  <c r="S65" i="49"/>
  <c r="R65" i="49"/>
  <c r="P65" i="49"/>
  <c r="N65" i="49"/>
  <c r="L65" i="49"/>
  <c r="K65" i="49"/>
  <c r="J65" i="49"/>
  <c r="I65" i="49"/>
  <c r="H65" i="49"/>
  <c r="G65" i="49"/>
  <c r="E65" i="49"/>
  <c r="D65" i="49"/>
  <c r="M64" i="49"/>
  <c r="F64" i="49" s="1"/>
  <c r="O63" i="49"/>
  <c r="F63" i="49" s="1"/>
  <c r="C63" i="49" s="1"/>
  <c r="Y62" i="49"/>
  <c r="X62" i="49"/>
  <c r="W62" i="49"/>
  <c r="V62" i="49"/>
  <c r="U62" i="49"/>
  <c r="T62" i="49"/>
  <c r="S62" i="49"/>
  <c r="R62" i="49"/>
  <c r="Q62" i="49"/>
  <c r="P62" i="49"/>
  <c r="N62" i="49"/>
  <c r="L62" i="49"/>
  <c r="K62" i="49"/>
  <c r="J62" i="49"/>
  <c r="I62" i="49"/>
  <c r="H62" i="49"/>
  <c r="G62" i="49"/>
  <c r="E62" i="49"/>
  <c r="D62" i="49"/>
  <c r="F61" i="49"/>
  <c r="C61" i="49" s="1"/>
  <c r="O60" i="49"/>
  <c r="F60" i="49" s="1"/>
  <c r="Y59" i="49"/>
  <c r="X59" i="49"/>
  <c r="W59" i="49"/>
  <c r="V59" i="49"/>
  <c r="U59" i="49"/>
  <c r="T59" i="49"/>
  <c r="S59" i="49"/>
  <c r="R59" i="49"/>
  <c r="Q59" i="49"/>
  <c r="P59" i="49"/>
  <c r="N59" i="49"/>
  <c r="M59" i="49"/>
  <c r="L59" i="49"/>
  <c r="K59" i="49"/>
  <c r="J59" i="49"/>
  <c r="I59" i="49"/>
  <c r="H59" i="49"/>
  <c r="G59" i="49"/>
  <c r="E59" i="49"/>
  <c r="D59" i="49"/>
  <c r="U58" i="49"/>
  <c r="U56" i="49" s="1"/>
  <c r="N58" i="49"/>
  <c r="N56" i="49" s="1"/>
  <c r="M58" i="49"/>
  <c r="Q57" i="49"/>
  <c r="Q56" i="49" s="1"/>
  <c r="O57" i="49"/>
  <c r="Y56" i="49"/>
  <c r="X56" i="49"/>
  <c r="W56" i="49"/>
  <c r="V56" i="49"/>
  <c r="T56" i="49"/>
  <c r="S56" i="49"/>
  <c r="R56" i="49"/>
  <c r="P56" i="49"/>
  <c r="L56" i="49"/>
  <c r="K56" i="49"/>
  <c r="J56" i="49"/>
  <c r="I56" i="49"/>
  <c r="H56" i="49"/>
  <c r="G56" i="49"/>
  <c r="E56" i="49"/>
  <c r="D56" i="49"/>
  <c r="Y55" i="49"/>
  <c r="X55" i="49"/>
  <c r="U55" i="49"/>
  <c r="T55" i="49"/>
  <c r="Q55" i="49"/>
  <c r="O55" i="49"/>
  <c r="M55" i="49"/>
  <c r="E55" i="49"/>
  <c r="D55" i="49"/>
  <c r="Y54" i="49"/>
  <c r="X54" i="49"/>
  <c r="W54" i="49"/>
  <c r="V54" i="49"/>
  <c r="T54" i="49"/>
  <c r="S54" i="49"/>
  <c r="R54" i="49"/>
  <c r="P54" i="49"/>
  <c r="M54" i="49"/>
  <c r="L54" i="49"/>
  <c r="K54" i="49"/>
  <c r="I54" i="49"/>
  <c r="E54" i="49"/>
  <c r="D54" i="49"/>
  <c r="F53" i="49"/>
  <c r="C53" i="49" s="1"/>
  <c r="U52" i="49"/>
  <c r="F52" i="49" s="1"/>
  <c r="C52" i="49" s="1"/>
  <c r="O51" i="49"/>
  <c r="N51" i="49"/>
  <c r="N54" i="49" s="1"/>
  <c r="J51" i="49"/>
  <c r="H51" i="49"/>
  <c r="H54" i="49" s="1"/>
  <c r="G51" i="49"/>
  <c r="U50" i="49"/>
  <c r="Q50" i="49"/>
  <c r="G50" i="49"/>
  <c r="U49" i="49"/>
  <c r="J49" i="49"/>
  <c r="G49" i="49"/>
  <c r="Q48" i="49"/>
  <c r="G48" i="49"/>
  <c r="F47" i="49"/>
  <c r="C47" i="49" s="1"/>
  <c r="O46" i="49"/>
  <c r="F46" i="49" s="1"/>
  <c r="C46" i="49" s="1"/>
  <c r="U45" i="49"/>
  <c r="O45" i="49"/>
  <c r="U44" i="49"/>
  <c r="Q44" i="49"/>
  <c r="O44" i="49"/>
  <c r="Q43" i="49"/>
  <c r="O43" i="49"/>
  <c r="O42" i="49"/>
  <c r="J42" i="49"/>
  <c r="Q41" i="49"/>
  <c r="O41" i="49"/>
  <c r="J41" i="49"/>
  <c r="Q40" i="49"/>
  <c r="O40" i="49"/>
  <c r="J40" i="49"/>
  <c r="O39" i="49"/>
  <c r="J39" i="49"/>
  <c r="U38" i="49"/>
  <c r="Q38" i="49"/>
  <c r="O38" i="49"/>
  <c r="Y37" i="49"/>
  <c r="X37" i="49"/>
  <c r="V37" i="49"/>
  <c r="S37" i="49"/>
  <c r="R37" i="49"/>
  <c r="M37" i="49"/>
  <c r="L37" i="49"/>
  <c r="K37" i="49"/>
  <c r="J37" i="49"/>
  <c r="I37" i="49"/>
  <c r="G37" i="49"/>
  <c r="E37" i="49"/>
  <c r="D37" i="49"/>
  <c r="U36" i="49"/>
  <c r="O36" i="49"/>
  <c r="W35" i="49"/>
  <c r="U35" i="49"/>
  <c r="O35" i="49"/>
  <c r="N35" i="49"/>
  <c r="F34" i="49"/>
  <c r="C34" i="49" s="1"/>
  <c r="F33" i="49"/>
  <c r="C33" i="49" s="1"/>
  <c r="W32" i="49"/>
  <c r="F32" i="49" s="1"/>
  <c r="C32" i="49" s="1"/>
  <c r="O31" i="49"/>
  <c r="N31" i="49"/>
  <c r="F31" i="49" s="1"/>
  <c r="C31" i="49" s="1"/>
  <c r="U30" i="49"/>
  <c r="O30" i="49"/>
  <c r="U29" i="49"/>
  <c r="O29" i="49"/>
  <c r="U28" i="49"/>
  <c r="T28" i="49"/>
  <c r="Q28" i="49"/>
  <c r="O28" i="49"/>
  <c r="N28" i="49"/>
  <c r="H28" i="49"/>
  <c r="U27" i="49"/>
  <c r="O27" i="49"/>
  <c r="U26" i="49"/>
  <c r="O26" i="49"/>
  <c r="N26" i="49"/>
  <c r="U25" i="49"/>
  <c r="O25" i="49"/>
  <c r="U24" i="49"/>
  <c r="O24" i="49"/>
  <c r="N24" i="49"/>
  <c r="U23" i="49"/>
  <c r="T23" i="49"/>
  <c r="O23" i="49"/>
  <c r="N23" i="49"/>
  <c r="H23" i="49"/>
  <c r="U22" i="49"/>
  <c r="T22" i="49"/>
  <c r="O22" i="49"/>
  <c r="N22" i="49"/>
  <c r="U21" i="49"/>
  <c r="O21" i="49"/>
  <c r="U20" i="49"/>
  <c r="T20" i="49"/>
  <c r="O20" i="49"/>
  <c r="N20" i="49"/>
  <c r="H20" i="49"/>
  <c r="U19" i="49"/>
  <c r="Q19" i="49"/>
  <c r="O19" i="49"/>
  <c r="N19" i="49"/>
  <c r="U18" i="49"/>
  <c r="P18" i="49"/>
  <c r="P37" i="49" s="1"/>
  <c r="O18" i="49"/>
  <c r="N18" i="49"/>
  <c r="Y17" i="49"/>
  <c r="X17" i="49"/>
  <c r="W17" i="49"/>
  <c r="V17" i="49"/>
  <c r="T17" i="49"/>
  <c r="S17" i="49"/>
  <c r="R17" i="49"/>
  <c r="Q17" i="49"/>
  <c r="P17" i="49"/>
  <c r="N17" i="49"/>
  <c r="M17" i="49"/>
  <c r="L17" i="49"/>
  <c r="K17" i="49"/>
  <c r="I17" i="49"/>
  <c r="H17" i="49"/>
  <c r="G17" i="49"/>
  <c r="E17" i="49"/>
  <c r="D17" i="49"/>
  <c r="U16" i="49"/>
  <c r="O16" i="49"/>
  <c r="J16" i="49"/>
  <c r="J17" i="49" s="1"/>
  <c r="U15" i="49"/>
  <c r="O15" i="49"/>
  <c r="U14" i="49"/>
  <c r="O14" i="49"/>
  <c r="U13" i="49"/>
  <c r="O13" i="49"/>
  <c r="U12" i="49"/>
  <c r="O12" i="49"/>
  <c r="U11" i="49"/>
  <c r="O11" i="49"/>
  <c r="U10" i="49"/>
  <c r="O10" i="49"/>
  <c r="U9" i="49"/>
  <c r="O9" i="49"/>
  <c r="F27" i="49" l="1"/>
  <c r="C27" i="49" s="1"/>
  <c r="F10" i="49"/>
  <c r="C10" i="49" s="1"/>
  <c r="U139" i="49"/>
  <c r="F66" i="49"/>
  <c r="C66" i="49" s="1"/>
  <c r="C65" i="49" s="1"/>
  <c r="F12" i="49"/>
  <c r="C12" i="49" s="1"/>
  <c r="F40" i="49"/>
  <c r="C40" i="49" s="1"/>
  <c r="F45" i="49"/>
  <c r="C45" i="49" s="1"/>
  <c r="C106" i="49"/>
  <c r="I139" i="49" s="1"/>
  <c r="F114" i="49"/>
  <c r="C114" i="49" s="1"/>
  <c r="T37" i="49"/>
  <c r="F26" i="49"/>
  <c r="C26" i="49" s="1"/>
  <c r="F39" i="49"/>
  <c r="C39" i="49" s="1"/>
  <c r="F44" i="49"/>
  <c r="C44" i="49" s="1"/>
  <c r="O62" i="49"/>
  <c r="Q65" i="49"/>
  <c r="Q89" i="49" s="1"/>
  <c r="M86" i="49"/>
  <c r="F58" i="49"/>
  <c r="C58" i="49" s="1"/>
  <c r="F21" i="49"/>
  <c r="C21" i="49" s="1"/>
  <c r="Q37" i="49"/>
  <c r="O86" i="49"/>
  <c r="F13" i="49"/>
  <c r="C13" i="49" s="1"/>
  <c r="F16" i="49"/>
  <c r="C16" i="49" s="1"/>
  <c r="G54" i="49"/>
  <c r="F55" i="49"/>
  <c r="C55" i="49" s="1"/>
  <c r="O17" i="49"/>
  <c r="F14" i="49"/>
  <c r="C14" i="49" s="1"/>
  <c r="F29" i="49"/>
  <c r="C29" i="49" s="1"/>
  <c r="F41" i="49"/>
  <c r="C41" i="49" s="1"/>
  <c r="F72" i="49"/>
  <c r="C72" i="49" s="1"/>
  <c r="C71" i="49" s="1"/>
  <c r="F75" i="49"/>
  <c r="C75" i="49" s="1"/>
  <c r="C74" i="49" s="1"/>
  <c r="F15" i="49"/>
  <c r="C15" i="49" s="1"/>
  <c r="F36" i="49"/>
  <c r="C36" i="49" s="1"/>
  <c r="M56" i="49"/>
  <c r="F57" i="49"/>
  <c r="C57" i="49" s="1"/>
  <c r="F69" i="49"/>
  <c r="F68" i="49" s="1"/>
  <c r="J89" i="49"/>
  <c r="F50" i="49"/>
  <c r="C50" i="49" s="1"/>
  <c r="C84" i="49"/>
  <c r="C83" i="49" s="1"/>
  <c r="F83" i="49"/>
  <c r="C86" i="49"/>
  <c r="I89" i="49"/>
  <c r="I90" i="49" s="1"/>
  <c r="U89" i="49"/>
  <c r="U17" i="49"/>
  <c r="F18" i="49"/>
  <c r="C18" i="49" s="1"/>
  <c r="F24" i="49"/>
  <c r="C24" i="49" s="1"/>
  <c r="F35" i="49"/>
  <c r="C35" i="49" s="1"/>
  <c r="F43" i="49"/>
  <c r="C43" i="49" s="1"/>
  <c r="F51" i="49"/>
  <c r="C51" i="49" s="1"/>
  <c r="D89" i="49"/>
  <c r="D90" i="49" s="1"/>
  <c r="D140" i="49" s="1"/>
  <c r="O37" i="49"/>
  <c r="F23" i="49"/>
  <c r="C23" i="49" s="1"/>
  <c r="F28" i="49"/>
  <c r="C28" i="49" s="1"/>
  <c r="J54" i="49"/>
  <c r="F48" i="49"/>
  <c r="C48" i="49" s="1"/>
  <c r="O56" i="49"/>
  <c r="L89" i="49"/>
  <c r="L90" i="49" s="1"/>
  <c r="L140" i="49" s="1"/>
  <c r="R89" i="49"/>
  <c r="R90" i="49" s="1"/>
  <c r="R140" i="49" s="1"/>
  <c r="X89" i="49"/>
  <c r="X90" i="49" s="1"/>
  <c r="X140" i="49" s="1"/>
  <c r="K89" i="49"/>
  <c r="K90" i="49" s="1"/>
  <c r="K140" i="49" s="1"/>
  <c r="W89" i="49"/>
  <c r="F20" i="49"/>
  <c r="C20" i="49" s="1"/>
  <c r="O54" i="49"/>
  <c r="M77" i="49"/>
  <c r="E89" i="49"/>
  <c r="E90" i="49" s="1"/>
  <c r="E140" i="49" s="1"/>
  <c r="W37" i="49"/>
  <c r="U37" i="49"/>
  <c r="F22" i="49"/>
  <c r="C22" i="49" s="1"/>
  <c r="F25" i="49"/>
  <c r="C25" i="49" s="1"/>
  <c r="Q54" i="49"/>
  <c r="M62" i="49"/>
  <c r="G89" i="49"/>
  <c r="S89" i="49"/>
  <c r="S90" i="49" s="1"/>
  <c r="S140" i="49" s="1"/>
  <c r="Y89" i="49"/>
  <c r="Y90" i="49" s="1"/>
  <c r="Y140" i="49" s="1"/>
  <c r="F9" i="49"/>
  <c r="C9" i="49" s="1"/>
  <c r="F11" i="49"/>
  <c r="C11" i="49" s="1"/>
  <c r="F19" i="49"/>
  <c r="C19" i="49" s="1"/>
  <c r="F30" i="49"/>
  <c r="C30" i="49" s="1"/>
  <c r="U54" i="49"/>
  <c r="F42" i="49"/>
  <c r="C42" i="49" s="1"/>
  <c r="F49" i="49"/>
  <c r="C49" i="49" s="1"/>
  <c r="P89" i="49"/>
  <c r="P90" i="49" s="1"/>
  <c r="P140" i="49" s="1"/>
  <c r="V89" i="49"/>
  <c r="V90" i="49" s="1"/>
  <c r="V140" i="49" s="1"/>
  <c r="O83" i="49"/>
  <c r="H89" i="49"/>
  <c r="N89" i="49"/>
  <c r="T89" i="49"/>
  <c r="F77" i="49"/>
  <c r="C78" i="49"/>
  <c r="C77" i="49" s="1"/>
  <c r="F80" i="49"/>
  <c r="C81" i="49"/>
  <c r="C80" i="49" s="1"/>
  <c r="F62" i="49"/>
  <c r="C64" i="49"/>
  <c r="C62" i="49" s="1"/>
  <c r="F59" i="49"/>
  <c r="C60" i="49"/>
  <c r="C59" i="49" s="1"/>
  <c r="H37" i="49"/>
  <c r="N37" i="49"/>
  <c r="F86" i="49"/>
  <c r="F38" i="49"/>
  <c r="O59" i="49"/>
  <c r="M71" i="49"/>
  <c r="O80" i="49"/>
  <c r="M65" i="49"/>
  <c r="O77" i="49"/>
  <c r="C93" i="49"/>
  <c r="F65" i="49" l="1"/>
  <c r="F56" i="49"/>
  <c r="T90" i="49"/>
  <c r="T140" i="49" s="1"/>
  <c r="I140" i="49"/>
  <c r="U90" i="49"/>
  <c r="U140" i="49" s="1"/>
  <c r="C56" i="49"/>
  <c r="H90" i="49"/>
  <c r="J90" i="49"/>
  <c r="J140" i="49" s="1"/>
  <c r="C69" i="49"/>
  <c r="C68" i="49" s="1"/>
  <c r="C37" i="49"/>
  <c r="F74" i="49"/>
  <c r="G90" i="49"/>
  <c r="G140" i="49" s="1"/>
  <c r="F71" i="49"/>
  <c r="M89" i="49"/>
  <c r="M90" i="49" s="1"/>
  <c r="M140" i="49" s="1"/>
  <c r="N90" i="49"/>
  <c r="N140" i="49" s="1"/>
  <c r="O89" i="49"/>
  <c r="O90" i="49" s="1"/>
  <c r="O140" i="49" s="1"/>
  <c r="C17" i="49"/>
  <c r="W90" i="49"/>
  <c r="W140" i="49" s="1"/>
  <c r="F17" i="49"/>
  <c r="Q90" i="49"/>
  <c r="Q140" i="49" s="1"/>
  <c r="F37" i="49"/>
  <c r="F54" i="49"/>
  <c r="C38" i="49"/>
  <c r="C54" i="49" s="1"/>
  <c r="C89" i="49" l="1"/>
  <c r="C90" i="49" s="1"/>
  <c r="F89" i="49"/>
  <c r="F90" i="49" s="1"/>
  <c r="D48" i="48" l="1"/>
  <c r="D43" i="48" s="1"/>
  <c r="D27" i="48"/>
  <c r="D21" i="48"/>
  <c r="D12" i="48"/>
  <c r="D7" i="48" s="1"/>
  <c r="F40" i="47"/>
  <c r="G40" i="47"/>
  <c r="D42" i="47"/>
  <c r="D43" i="47"/>
  <c r="D44" i="47"/>
  <c r="D45" i="47"/>
  <c r="D41" i="47"/>
  <c r="E34" i="47"/>
  <c r="E33" i="47" s="1"/>
  <c r="F34" i="47"/>
  <c r="G34" i="47"/>
  <c r="D36" i="47"/>
  <c r="D37" i="47"/>
  <c r="D38" i="47"/>
  <c r="D35" i="47"/>
  <c r="E19" i="47"/>
  <c r="E18" i="47" s="1"/>
  <c r="F19" i="47"/>
  <c r="G19" i="47"/>
  <c r="D21" i="47"/>
  <c r="D22" i="47"/>
  <c r="D23" i="47"/>
  <c r="D19" i="47" s="1"/>
  <c r="D24" i="47"/>
  <c r="D25" i="47"/>
  <c r="D26" i="47"/>
  <c r="D27" i="47"/>
  <c r="D28" i="47"/>
  <c r="D29" i="47"/>
  <c r="D30" i="47"/>
  <c r="D31" i="47"/>
  <c r="D32" i="47"/>
  <c r="D20" i="47"/>
  <c r="E8" i="47"/>
  <c r="F8" i="47"/>
  <c r="G8" i="47"/>
  <c r="D10" i="47"/>
  <c r="D11" i="47"/>
  <c r="D12" i="47"/>
  <c r="D13" i="47"/>
  <c r="D14" i="47"/>
  <c r="D15" i="47"/>
  <c r="D16" i="47"/>
  <c r="D17" i="47"/>
  <c r="E40" i="47"/>
  <c r="E39" i="47"/>
  <c r="D34" i="47" l="1"/>
  <c r="D51" i="48"/>
  <c r="D40" i="47"/>
  <c r="D9" i="47"/>
  <c r="D8" i="47" s="1"/>
  <c r="E7" i="47"/>
  <c r="E46" i="47" s="1"/>
  <c r="G33" i="47" l="1"/>
  <c r="G39" i="47"/>
  <c r="G18" i="47"/>
  <c r="G7" i="47"/>
  <c r="G46" i="47" s="1"/>
  <c r="F7" i="47"/>
  <c r="D7" i="47" s="1"/>
  <c r="F39" i="47"/>
  <c r="F33" i="47"/>
  <c r="D33" i="47" l="1"/>
  <c r="D39" i="47"/>
  <c r="D18" i="47"/>
  <c r="D46" i="47" s="1"/>
  <c r="F18" i="47"/>
  <c r="F46" i="47" s="1"/>
  <c r="H139" i="49" l="1"/>
  <c r="H140" i="49" s="1"/>
  <c r="F112" i="49"/>
  <c r="F139" i="49" s="1"/>
  <c r="F140" i="49" s="1"/>
  <c r="C112" i="49" l="1"/>
  <c r="C139" i="49" s="1"/>
  <c r="C140" i="49" s="1"/>
</calcChain>
</file>

<file path=xl/sharedStrings.xml><?xml version="1.0" encoding="utf-8"?>
<sst xmlns="http://schemas.openxmlformats.org/spreadsheetml/2006/main" count="411" uniqueCount="328">
  <si>
    <t>Kėdainių krašto muziejus</t>
  </si>
  <si>
    <t>Priešgaisrinė tarnyba</t>
  </si>
  <si>
    <t>Šviesioji gimnazija</t>
  </si>
  <si>
    <t>Dotnuvos slaugos namai</t>
  </si>
  <si>
    <t>Akademijos kultūros centras</t>
  </si>
  <si>
    <t>Josvainių kultūros centras</t>
  </si>
  <si>
    <t>Krakių kultūros centras</t>
  </si>
  <si>
    <t>Šėtos kultūros centras</t>
  </si>
  <si>
    <t>Truskavos kultūros centras</t>
  </si>
  <si>
    <t>savarankiškom funkcijom</t>
  </si>
  <si>
    <t>(+,-)</t>
  </si>
  <si>
    <t>%</t>
  </si>
  <si>
    <t>palyginimas</t>
  </si>
  <si>
    <t>Iš viso asignavimai</t>
  </si>
  <si>
    <t>Kalbų mokykla</t>
  </si>
  <si>
    <t>Dailės mokykla</t>
  </si>
  <si>
    <t>Dotnuvos pagrindinė mokykla</t>
  </si>
  <si>
    <t>Labūnavos pagrindinė mokykla</t>
  </si>
  <si>
    <t>Josvainių socialinis ir ugdymo centras</t>
  </si>
  <si>
    <t>Surviliškio Vinco Svirskio pagrindinė mokykla</t>
  </si>
  <si>
    <t>Suaugusiųjų ir jaunimo mokymo centras</t>
  </si>
  <si>
    <t>Muzikos  mokykla</t>
  </si>
  <si>
    <t>Švietimo pagalbos tarnyba</t>
  </si>
  <si>
    <t>Kontrolės ir audito tarnyba</t>
  </si>
  <si>
    <t>Kėdainių miesto seniūnija</t>
  </si>
  <si>
    <t>Dotnuvos seniūnija</t>
  </si>
  <si>
    <t>Gudžiūnų seniūnija</t>
  </si>
  <si>
    <t>Josvainių seniūnija</t>
  </si>
  <si>
    <t>Krakių seniūnija</t>
  </si>
  <si>
    <t>Pelėdnagių seniūnija</t>
  </si>
  <si>
    <t>Pernaravos seniūnija</t>
  </si>
  <si>
    <t>Surviliškio seniūnija</t>
  </si>
  <si>
    <t>Šėtos seniūnija</t>
  </si>
  <si>
    <t>Truskavos seniūnija</t>
  </si>
  <si>
    <t>Vilainių seniūnija</t>
  </si>
  <si>
    <t>(tūkst.Eur)</t>
  </si>
  <si>
    <t>Sporto centras</t>
  </si>
  <si>
    <t>Kėdainių pagalbos šeimai centras</t>
  </si>
  <si>
    <t>Bendruomenės socialinis centras</t>
  </si>
  <si>
    <t>01 Aktyvios visuomenės ugdymas</t>
  </si>
  <si>
    <t>02 Socialinės gerovės užtikrinimas</t>
  </si>
  <si>
    <t>04 Ekonomikos plėtra</t>
  </si>
  <si>
    <t>05 Savivaldybės valdymo tobulinimas</t>
  </si>
  <si>
    <t>Eil. Nr.</t>
  </si>
  <si>
    <t>03 Darnios aplinko ir infrastruktūros plėtra</t>
  </si>
  <si>
    <t>Programos kodas</t>
  </si>
  <si>
    <t>Programos pavadinimas</t>
  </si>
  <si>
    <t xml:space="preserve"> ES lėšos, spec. tikslinė dotacija </t>
  </si>
  <si>
    <t>ugdymo reikmėms finansuoti ir valstyb. deleguotom f-jom</t>
  </si>
  <si>
    <t>01</t>
  </si>
  <si>
    <t>02</t>
  </si>
  <si>
    <t>03</t>
  </si>
  <si>
    <t>04</t>
  </si>
  <si>
    <t>05</t>
  </si>
  <si>
    <t>Iš viso</t>
  </si>
  <si>
    <t>spec. (ilgalaikio ir trumpalaikio materialiojo turto nuoma)</t>
  </si>
  <si>
    <t>spec. (prekės ir paslaugos)</t>
  </si>
  <si>
    <t>spec. (įmokos)</t>
  </si>
  <si>
    <t>(tūkst. Eur)</t>
  </si>
  <si>
    <t>Iš viso asignavimų</t>
  </si>
  <si>
    <t>Kėdainių kultūros centras</t>
  </si>
  <si>
    <t>2025 m.</t>
  </si>
  <si>
    <t>proc.</t>
  </si>
  <si>
    <t>Pajamos savarankiškoms funkcijoms vykdyti</t>
  </si>
  <si>
    <t>Gyventojų  pajamų mokestis tenkantis savivaldybei (procentais)</t>
  </si>
  <si>
    <t>Gyventojų  pajamų mokestis</t>
  </si>
  <si>
    <t>Gyventojų  pajamų mokestis, mokamas už pajamas, gautas iš veiklos, kuria verčiamasi turint verslo liudijimą</t>
  </si>
  <si>
    <t>Turto mokesčiai:</t>
  </si>
  <si>
    <t xml:space="preserve">   žemės mokestis</t>
  </si>
  <si>
    <t xml:space="preserve">   nekilnojamojo turto mokestis</t>
  </si>
  <si>
    <t xml:space="preserve">   paveldimo turto mokestis</t>
  </si>
  <si>
    <t xml:space="preserve">   žemės nuomos mokestis</t>
  </si>
  <si>
    <t xml:space="preserve">   dividendai</t>
  </si>
  <si>
    <t>Kitos pajamos ir rinkliavos</t>
  </si>
  <si>
    <t>Materialiojo  ir nematerialiojo turto realizavimo pajamos</t>
  </si>
  <si>
    <t xml:space="preserve">Dotacija savivaldybėms iš Europos Sąjungos, kitos tarptautinės finansinės paramos ir bendrojo finansavimo lėšų </t>
  </si>
  <si>
    <t>Speciali tikslinė dotacija</t>
  </si>
  <si>
    <t xml:space="preserve">   Valstybinėms funkcijoms atlikti</t>
  </si>
  <si>
    <t xml:space="preserve">   Ugdymo reikmėms finansuoti</t>
  </si>
  <si>
    <t xml:space="preserve">   Mokyklos specialiųjų poreikių turintiems mokiniams</t>
  </si>
  <si>
    <t>Kita tikslinė dotacija</t>
  </si>
  <si>
    <t>Mokestis už valstybinius gamtos išteklius</t>
  </si>
  <si>
    <t>Vietinė rinkliava už atliekų tvarkymą</t>
  </si>
  <si>
    <t xml:space="preserve">Biudžetinių įstaigų gautos pajamos:                              </t>
  </si>
  <si>
    <t>Pajamos už prekes ir paslaugas</t>
  </si>
  <si>
    <t>Pajamos už ilgalaikio ir trumpalaikio materialiojo turto nuomą</t>
  </si>
  <si>
    <t xml:space="preserve">Įmokos už išlaikymą švietimo, socialinės apsaugos ir kitose  įstaigose </t>
  </si>
  <si>
    <t xml:space="preserve">                                                   Iš viso pajamų</t>
  </si>
  <si>
    <t>Lietuvos sporto universiteto Kėdainių "Aušros" progimnazija</t>
  </si>
  <si>
    <t>Kėdainių "Spindulio" mokykla</t>
  </si>
  <si>
    <t>Viso</t>
  </si>
  <si>
    <t>Eil.   Nr.</t>
  </si>
  <si>
    <t>Progra- mos kodas</t>
  </si>
  <si>
    <t>Asignavimų valdytojas</t>
  </si>
  <si>
    <t>2</t>
  </si>
  <si>
    <t>AKTYVIOS VISUOMENĖS UGDYMAS</t>
  </si>
  <si>
    <t>SOCIALINĖS GEROVĖS UŽTIKRINIMAS</t>
  </si>
  <si>
    <t>Šėtos socialinis ir ugdymo  centras</t>
  </si>
  <si>
    <t>EKONOMINĖS PLĖTRA</t>
  </si>
  <si>
    <t>Kėdainių rajono savivaldybės administracija iš viso:</t>
  </si>
  <si>
    <t>Įgyvendinti "Tūkstantmečio mokyklos I"  projektą</t>
  </si>
  <si>
    <t xml:space="preserve">Švietimo paslaugų kokybės gerinimas, aprūpinant efektyviai veikiančias bendrojo ugdymo mokyklas laboratorine įranga ir priemonėmis </t>
  </si>
  <si>
    <t>Projekto "Išmaniųjų akademija"  įgyvendinimas (ES projekto "Kauno regiono funkcinės zonos strategija" dalis)</t>
  </si>
  <si>
    <t xml:space="preserve">Projekto "Ugdymo prieinamumo didinimas atskirtį patiriantiems vaikams Kėdainių „Ryto“ ir Kėdainių senamiesčio progimnazijose" įgyvedinimas </t>
  </si>
  <si>
    <t>Plėtoti įvairialypį švietimą  Kėdainių „Aušros“ progimnazijoje ir Vilainių mokykloje-darželyje „Obelėlė“, vykdant visos dienos mokyklos veiklą</t>
  </si>
  <si>
    <t>Projekto "Kokybiškų visuomenės sveikatos paslaugų prieinamumo didinimas Kėdainių rajone" įgyvendinimas</t>
  </si>
  <si>
    <t>Sveikatos centro sudėtyje teikiamų sveikatos priežiūros paslaugų infrastruktūros modernizavimas Kėdainių rajono savivaldybėje</t>
  </si>
  <si>
    <t>Projekto "Sveikatos centro veiklos modelio diegimas Kėdainių rajono savivaldybėje" įgyvendinimas</t>
  </si>
  <si>
    <t>Projekto "Sveikatos priežiūros specialistų rengimas, pritraukimas Kėdainių rajono savivaldybėje" įgyvendinimas</t>
  </si>
  <si>
    <t xml:space="preserve">Asmenų su intelekto ir psichikos negalia institucinės globos pertvarkos įgyvendinimas Kėdainiuose, įsteigiant socialines dirbtuves </t>
  </si>
  <si>
    <t>Intelekto ir (ar) psichikos negalią turinčių asmenų atvejo vadybos paslaugų teikimas</t>
  </si>
  <si>
    <t xml:space="preserve"> DARNIOS APLINKOS IR INFRASTRUKTŪROS PLĖTRA</t>
  </si>
  <si>
    <t>Projekto "Žaliosios infrastruktūros Kėdainių miesto urbanizuotoje aplinkoje plėtojimas" įgyvendinimas</t>
  </si>
  <si>
    <t xml:space="preserve">Projekto "Rūšiuojamojo atliekų surinkimo skatinimas Kėdainių rajono savivaldybėje" įgyvendinimas </t>
  </si>
  <si>
    <t xml:space="preserve">Projekto "Kultūros paveldo ir gamtos objektų pritaikymas lankyti Kėdainių rajono savivaldybėje" įgyvendinimas (ES projekto "Kauno regiono funkcinės zonos strategija" dalis) </t>
  </si>
  <si>
    <t xml:space="preserve">                                                               ___________________________________________</t>
  </si>
  <si>
    <t>Iš viso, iš jų:</t>
  </si>
  <si>
    <t>ES lėšos</t>
  </si>
  <si>
    <t>VB lėšos</t>
  </si>
  <si>
    <t>Projekto „Ankstyvojo ugdymo užtikrinimas vaikams iš socialinę riziką patiriančių šeimų“ įgyvendinimas</t>
  </si>
  <si>
    <t>Skaitmeninio ugdymo plėtra</t>
  </si>
  <si>
    <t xml:space="preserve">Vaikų maitinimo ekologiškais ir pagal nacionalinę maisto kokybės sistemą pagamintais produktais  Kėdainių lopšelyje-darželyje "Žilvitis" organizavimas (dalyvavimas projekte) </t>
  </si>
  <si>
    <t>Saugių ugdymo sąlygų įstaigose, vykdančiose ugdymo programas, užtikrinimas</t>
  </si>
  <si>
    <t xml:space="preserve">Šėtos gimnazijos I aukšto patalpų  bei gimnazijos aplinkos pritaikymas ikimokyklinio / priešmokyklinio ugdymo organizavimui       </t>
  </si>
  <si>
    <t xml:space="preserve">Bendrojo ir ikimokyklinio ugdymo įstaigų (skyrių) pastatų modernizavimo techninės dokumentacijos rengimas bei pastatų modernizavimas </t>
  </si>
  <si>
    <t>Sporto infrastruktūrai prie ugdymo įstaigų  atnaujinti reikalingos techninės dokumentacijos rengimas ir atnaujinimo darbai</t>
  </si>
  <si>
    <t>Krakių kultūros centro patalpų dalies pritaikymas kultūros reikmėms</t>
  </si>
  <si>
    <t>Kultūros centrų ir jų skyrių, bibliotekos ir jos filialų materialinės, infrastruktūrinės aplinkos atnaujinimas</t>
  </si>
  <si>
    <t>Socialinių būstų įsigijimas</t>
  </si>
  <si>
    <t>Savivaldybės ir socialinio būsto remontas</t>
  </si>
  <si>
    <t>Viešosios aplinkos pritaikymas specialiųjų poreikių turintiems gyventojams</t>
  </si>
  <si>
    <t xml:space="preserve">Apleistų (bešeimininkių ar savivaldybei nuosavybės teise priklausančių) pastatų ar kitų aplinką žalojančių objektų likvidavimas </t>
  </si>
  <si>
    <t>Dokumentų, padedančių užtikrinti darnią rajono savivaldybės teritorijų plėtrą rengimas</t>
  </si>
  <si>
    <t>Gatvių apšvietimo rekonstrukcija, įrengimas, modernizavimas</t>
  </si>
  <si>
    <t xml:space="preserve">Projekto "Darnaus judumo mieste skatinimas, plėtojant dviračių bei pėsčiųjų takų infrastruktūrą" įgyvendinimas </t>
  </si>
  <si>
    <t>Biudžetinių įstaigų kiemų dangos atnaujinimas</t>
  </si>
  <si>
    <t>Inžinerinių paslaugų, darbų ir įrenginių finansavimas</t>
  </si>
  <si>
    <t>Seniūnijų administracinių pastatų atnaujinimas</t>
  </si>
  <si>
    <t>Europos Sąjungos projektų,  kuriems taikomas apmokėjimas kompensavimo būdu, išlaidų apmokėjimas</t>
  </si>
  <si>
    <t>Gyvenviečių lietaus nuotekų-drenažų sistemų remontas</t>
  </si>
  <si>
    <t>Hidrotechninių įrenginių atnaujinimui reikalingos techninės dokumentacijos rengimas</t>
  </si>
  <si>
    <t>Lankytinų objektų ir jų teritorijų,  kultūros paveldo objektų ar objektų, esančių kultūros paveldo teritorijų prieigose tvarkybos reikalingos dokumentacijos rengimas, objektų atnaujinimas</t>
  </si>
  <si>
    <t>Minareto ir jo prieigų tvarkyba</t>
  </si>
  <si>
    <t xml:space="preserve">Evangelikų ir reformatų bažnyčios infrastruktūros, jos varpinės  atnaujinimas </t>
  </si>
  <si>
    <t>Kultūros paveldo objektų, esančių Kėdainių rajono savivaldybės teritorijoje, ir kultūros paveldo statinių, esančių Kėdainių senamiesčio dalyje, išsaugojimo darbų finansavimo programa</t>
  </si>
  <si>
    <t xml:space="preserve">                                                                   _____________________________________                                                                                       </t>
  </si>
  <si>
    <t xml:space="preserve">Darbo </t>
  </si>
  <si>
    <t>Įnašai</t>
  </si>
  <si>
    <t>Mityba</t>
  </si>
  <si>
    <t>Medikamentai</t>
  </si>
  <si>
    <t>Ryšių</t>
  </si>
  <si>
    <t>Transporto</t>
  </si>
  <si>
    <t>Apranga</t>
  </si>
  <si>
    <t>Koman-</t>
  </si>
  <si>
    <t xml:space="preserve">Gyvenamųjų </t>
  </si>
  <si>
    <t>Materialiojo</t>
  </si>
  <si>
    <t>Kvalifi-</t>
  </si>
  <si>
    <t>Komunalinės paslaugos</t>
  </si>
  <si>
    <t>Informacinių</t>
  </si>
  <si>
    <t>Kitos</t>
  </si>
  <si>
    <t>Pašalpos</t>
  </si>
  <si>
    <t>Darbdavių socialinė parama</t>
  </si>
  <si>
    <t>Turtas</t>
  </si>
  <si>
    <t>paskaičia-</t>
  </si>
  <si>
    <t>užmokestis</t>
  </si>
  <si>
    <t>soc,draud.</t>
  </si>
  <si>
    <t>išlaidos</t>
  </si>
  <si>
    <t xml:space="preserve"> ir medicininės</t>
  </si>
  <si>
    <t>įranga ir</t>
  </si>
  <si>
    <t xml:space="preserve">išlaikymas </t>
  </si>
  <si>
    <t>ir patalynė</t>
  </si>
  <si>
    <t>diruotės</t>
  </si>
  <si>
    <t xml:space="preserve">vietovių </t>
  </si>
  <si>
    <t xml:space="preserve">turto paprastojo  </t>
  </si>
  <si>
    <t>kacijos</t>
  </si>
  <si>
    <t>Šildy-</t>
  </si>
  <si>
    <t>Elektra</t>
  </si>
  <si>
    <t>Vandent.</t>
  </si>
  <si>
    <t>Komun. atliek.</t>
  </si>
  <si>
    <t>technologijų</t>
  </si>
  <si>
    <t>prekės ir</t>
  </si>
  <si>
    <t>Įstaigos pavadinimas</t>
  </si>
  <si>
    <t>vimas</t>
  </si>
  <si>
    <t xml:space="preserve">prekės bei </t>
  </si>
  <si>
    <t xml:space="preserve">paslaugos </t>
  </si>
  <si>
    <t>ir transporto</t>
  </si>
  <si>
    <t xml:space="preserve">bei </t>
  </si>
  <si>
    <t>viešasis</t>
  </si>
  <si>
    <t>remont. prekės</t>
  </si>
  <si>
    <t>kėlimas</t>
  </si>
  <si>
    <t>mas</t>
  </si>
  <si>
    <t>ir kanaliz.</t>
  </si>
  <si>
    <t>paslaugos</t>
  </si>
  <si>
    <t>priežiūra</t>
  </si>
  <si>
    <t xml:space="preserve"> ūkis </t>
  </si>
  <si>
    <t xml:space="preserve"> ir paslaugos</t>
  </si>
  <si>
    <t>Lopšelis-darželis "Aviliukas"</t>
  </si>
  <si>
    <t>Lopšelis-darželis "Pasaka"</t>
  </si>
  <si>
    <t>Lopšelis-darželis "Puriena"</t>
  </si>
  <si>
    <t>Lopšelis-darželis "Vaikystė"</t>
  </si>
  <si>
    <t>Lopšelis-darželis "Varpelis"</t>
  </si>
  <si>
    <t>Lopšelis-darželis "Vyturėlis"</t>
  </si>
  <si>
    <t>Lopšelis-darželis "Žilvitis"</t>
  </si>
  <si>
    <t>Vilainių mokykla-darželis "Obelėlė"</t>
  </si>
  <si>
    <t>VISO DARŽELIAI</t>
  </si>
  <si>
    <t>Atžalyno gimnazija</t>
  </si>
  <si>
    <t>Akademijos gimnazija</t>
  </si>
  <si>
    <t>Josvainių gimnazija</t>
  </si>
  <si>
    <t>Krakių Mikalojaus Katkaus gimnazija</t>
  </si>
  <si>
    <t>Šėtos  gimnazija</t>
  </si>
  <si>
    <t>Senamiesčio progimnazija</t>
  </si>
  <si>
    <t>VISO MOKYKLOS</t>
  </si>
  <si>
    <t>Mikalojaus Daukšos viešoji biblioteka</t>
  </si>
  <si>
    <t>Visuomenės sveikatos biuras</t>
  </si>
  <si>
    <t>KITOS ĮSTAIGOS</t>
  </si>
  <si>
    <t xml:space="preserve">Savivaldybės administracija </t>
  </si>
  <si>
    <t>VISO SAVIVALDYBĖS ADMINISTRACIJA IR SENIŪNIJOS</t>
  </si>
  <si>
    <t xml:space="preserve">01. Aktyvios visuomenės ugdymo programa </t>
  </si>
  <si>
    <t xml:space="preserve">Finansuoti vaikų vasaros stovyklų  ir kitų neformaliojo vaikų švietimo veiklų programas </t>
  </si>
  <si>
    <t>Gabių mokinių skatinimas</t>
  </si>
  <si>
    <t>"Pirmoko krepšelio" finansavimas</t>
  </si>
  <si>
    <t>Priklausomybę sukeliančių medžiagų vartojimo mažinimo ir prevencijos  programos priemonių įgyvendinimas</t>
  </si>
  <si>
    <t xml:space="preserve">Dalyvaujamojo biudžeto iniciatyvų ugdymo įstaigose įgyvendinimas </t>
  </si>
  <si>
    <t xml:space="preserve">Dalyvavimas vaikų mokymo plaukti  projekte „Mokėk plaukti ir saugiau elgtis vandenyje“ </t>
  </si>
  <si>
    <t>Nevyriausybinių organizacijų institucinio stiprinimo ir veiklos plėtojimo projektų finansavimas</t>
  </si>
  <si>
    <t xml:space="preserve">Kėdainių miesto bei rajono vietos veiklos grupių plėtros strategijų finansavimas </t>
  </si>
  <si>
    <t>Bendruomeninių organizacijų veiklos projektų finansavimas</t>
  </si>
  <si>
    <t xml:space="preserve"> 02. Socialinės gerovės užtikrinimo programa</t>
  </si>
  <si>
    <t>Vaikų, turinčių autizmo spektro ir kitų raidos sutrikimų, sveikatos stiprinimas, galimybių siekti asmeninės pažangos, pilnaverčio socialinio dalyvavimo prielaidų užtikrinimas</t>
  </si>
  <si>
    <t>Nemokamo socialiai remtinų vaikų maitinimo ikimokyklinėse įstaigose organizavimas</t>
  </si>
  <si>
    <t>Vaikų dienos centrų veiklos programų finansavimas</t>
  </si>
  <si>
    <t>Nemokamo mokinių maitinimo kainos bendrojo ugdymo mokyklose kompensavimas</t>
  </si>
  <si>
    <t>Kainų skirtumo gyventojams už šildymą kompensavimas</t>
  </si>
  <si>
    <t>Karšto ir  šalto  vandens pardavimo kainos socialiai remtiniems asmenims  kompensavimas</t>
  </si>
  <si>
    <t>Vienkartinė išmoka gimus vaikui Lietuvos Respublikos teritorijoje ir gyvenančiam Kėdainių rajono savivaldybėje</t>
  </si>
  <si>
    <t>Socialinių dirbtuvių paslaugos organizavimas</t>
  </si>
  <si>
    <t>Smurto artimoje aplinkoje bei krizių įveikimo prevencija, pagalba socialiai pažeidžiamiems asmenims</t>
  </si>
  <si>
    <t>Kelionės išlaidų už lengvatinį keleivių vežimą kompensavimas</t>
  </si>
  <si>
    <t>03.  Darnios aplinkos ir infrastruktūros plėtros programa</t>
  </si>
  <si>
    <t>Nuostolių, susidariusių dėl būtinų keleivinio transporto paslaugų teikimo visuomenei, apmokėjimas</t>
  </si>
  <si>
    <t>Kėdainių rajono savivaldybės  investicijų programai</t>
  </si>
  <si>
    <t>04. Ekonominės plėtros programa</t>
  </si>
  <si>
    <t>VšĮ Kėdainių turizmo ir verslo informacijos centro efektyvios veiklos užtikrinimas turizmo srityje</t>
  </si>
  <si>
    <t>Savivaldybės bažnyčių rėmimo programos įgyvendinimas</t>
  </si>
  <si>
    <t>VšĮ Kėdainių turizmo ir verslo informacijos centro efektyvios veiklos užtikrinimas verslo srityje</t>
  </si>
  <si>
    <t xml:space="preserve">Finansinės paramos teikimas per Savivaldybės smulkiojo verslo rėmimo fondą </t>
  </si>
  <si>
    <t>Dalyvavimas projekte "Inkubavimo, konsultavimo, mentorystės ir tinklaveikos programų vystymas, skatinant pradedančiųjų SVV subjektų kūrimąsi ir augimą regionuose" partnerio teisėmis</t>
  </si>
  <si>
    <t>05. Savivaldybės valdymo tobulinimo programa</t>
  </si>
  <si>
    <t>Savivaldybės  mero rezervas</t>
  </si>
  <si>
    <t>Savivaldybės mero fondas</t>
  </si>
  <si>
    <t>Mokėti palūkanas</t>
  </si>
  <si>
    <t>Grąžinti valstybės biudžeto lėšas (dotaciją)</t>
  </si>
  <si>
    <t xml:space="preserve">Visuomenės įtraukimas į planavimo, biudžeto formavimo, konsultavimosi procesus, organizuojant dalyvaujamojo biudžeto iniciatyvų konkursą ir iniciatyvų įgyvendinimą </t>
  </si>
  <si>
    <t>viso</t>
  </si>
  <si>
    <t xml:space="preserve">IŠ VISO </t>
  </si>
  <si>
    <t>Paaiškinamoji lentelė Nr. 1</t>
  </si>
  <si>
    <t>Paaiškinamoji lentelė Nr. 3</t>
  </si>
  <si>
    <t>Paaiškinamoji lentelė Nr. 4</t>
  </si>
  <si>
    <t xml:space="preserve">Mokestis už aplinkos teršimą                                                                              </t>
  </si>
  <si>
    <t>KĖDAINIŲ RAJONO SAVIVALDYBĖS 2026 METŲ BIUDŽETO ASIGNAVIMAI  INVESTICIJŲ PROJEKTAMS IR REMONTO DARBAMS FINANSUOTI PAGAL OBJEKTUS</t>
  </si>
  <si>
    <t xml:space="preserve"> 2026 METŲ KĖDAINIŲ RAJONO SAVIVALDYBĖS BIUDŽETO ASIGNAVIMAI PROJEKTAMS FINANSUOTI SAVARANKIŠKŲ FUNKCIJŲ, EUROPOS SĄJUNGOS IR  VALSTYBĖS BIUDŽETO DOTACIJOS IŠ KITŲ VALDYMO LYGIŲ   LĖŠOMIS</t>
  </si>
  <si>
    <t>SB lėšos</t>
  </si>
  <si>
    <t xml:space="preserve">KĖDAINIŲ RAJONO SAVIVALDYBĖS 2025-2026 METŲ ASIGNAVIMŲ PAGAL PROGRAMAS PALYGINIMAS  </t>
  </si>
  <si>
    <t xml:space="preserve">Projekto " Integracijos tiltai: Paslaugų teikimas užsienio kilmės Lietuvos gyventojams Kėdainių rajone" įgyvendinimas </t>
  </si>
  <si>
    <t>Projekto "Socialinio būsto fondo neįgaliesiems ir gausioms šeimoms plėtra" įgyvendinimas</t>
  </si>
  <si>
    <t>Projekto "Asmenų su intelekto ir psichikos negalia institucinės globos pertvarkos įgyvendinimas Kėdainių rajono savivaldybėje, įsteigiant grupinius gyvenimo namus" įgyvendinimas</t>
  </si>
  <si>
    <t>Projekto "Asmenų su intelekto ir psichikos negalia institucinės globos pertvarkos įgyvendinimas Kėdainių rajono savivaldybėje, įsigyjant apsaugotus būstus" įgyvendinimas</t>
  </si>
  <si>
    <t>Projekto "Nestacionarių socialinių paslaugų infrastruktūros modernizavimas Kėdainių rajono savivaldybėje" įgyvendinimas</t>
  </si>
  <si>
    <t>Interreg Lietuvos-Lenkijos projekto "SEEHEARACT" koofinansavimas, atnaujinant  Kėdainių krašto muziejaus ekspozicijas</t>
  </si>
  <si>
    <t xml:space="preserve">Projekto "Ilgalaikės priežiūros paslaugų plėtojimo užtikrinimas" įgyvendinimas </t>
  </si>
  <si>
    <t>Projekto "Socialinių paslaugų įstaigų senyvo amžiaus asmenims infrastruktūros modernizavimas ir plėtra Kėdainių rajono savivaldybėje" įgyvendinimas</t>
  </si>
  <si>
    <t>Valstybei nuosavybės teise priklausančių melioracijos statinių ir (ar) sistemų rekonstravimo ir projektavimo darbų bei apleistų žemės plotų mažinimo priemonių įgyvendinimas</t>
  </si>
  <si>
    <t>Patrauklios viešosios erdvės kūrimas Aristavos kaime</t>
  </si>
  <si>
    <t>Patrauklios viešosios erdvės kūrimas Dotnuvos miestelyje</t>
  </si>
  <si>
    <t>Maitinimo savarankiškai organizavimas mokyklose</t>
  </si>
  <si>
    <t>Sporto centro bazių atnaujinimas ir plėtra g. 60, įveiklinimas</t>
  </si>
  <si>
    <t>Bendruomeninės fizinio aktyvumo infrastruktūros priežiūra, atnaujinimas ir (arba) plėtra</t>
  </si>
  <si>
    <t>Šėtos gimnazijos sporto aikštyno atnaujinimas atnaujinimas</t>
  </si>
  <si>
    <t>Dengto futbolo maniežo investicinio projekto parengimas</t>
  </si>
  <si>
    <t>Kėdainių kultūros centro rekonstrukcija ir  įveiklinimas</t>
  </si>
  <si>
    <t>Savivaldybės finansinė parama pirmąjį būstą įsigyjančioms jaunoms šeimoms</t>
  </si>
  <si>
    <t>Daugiabučių namų patalpų pritaikymas minimaliems priedangų reikalavimams</t>
  </si>
  <si>
    <t>Saugios aplinkos kūrimas ir bendruomenės viešosios tvarkos užtikrinimas</t>
  </si>
  <si>
    <t>Jaunuolių skatinimas pasirinkti policijos pareigūno profesiją</t>
  </si>
  <si>
    <t>Laikino atokvėpio paslaugai teikti ir administruoti</t>
  </si>
  <si>
    <t>Prisidėjimas prie Savivaldybei priklausančio būsto renovacijos</t>
  </si>
  <si>
    <t xml:space="preserve">Investicinių projektų, planų, paraiškų, kitos techninės dokumentacijos rengimas  paramai gauti </t>
  </si>
  <si>
    <t xml:space="preserve">Vandentiekio, nuotekų tinklų rekonstrukcija ir plėtra rajone </t>
  </si>
  <si>
    <t>Vandentiekio, nuotekų tinklų rekonstrukcija ir plėtra mieste</t>
  </si>
  <si>
    <t>Geriamojo vandens tiekimo ir buitinių nuotekų tvarkymo infrastruktūros plėtros ir/ar rekonstrukcijos kaimiškosiose gyvenvietėse techninės dokumentacijos rengimas</t>
  </si>
  <si>
    <t>Objektų remontai pagal administracijos direktoriaus įsakymus</t>
  </si>
  <si>
    <t xml:space="preserve">Avarinių židinių likvidavimas </t>
  </si>
  <si>
    <t>Kelių dangos gerinimo finansavimas seniūnijose</t>
  </si>
  <si>
    <t>Biudžetinių įstaigų stogų remontas</t>
  </si>
  <si>
    <t xml:space="preserve">Kompleksiškas daugiabučių gyvenamųjų namų kvartalų atnaujinimas </t>
  </si>
  <si>
    <t xml:space="preserve">Infrastruktūros miesto parke įrengimas </t>
  </si>
  <si>
    <t xml:space="preserve">Babėnų šilo miškotvarka ir pritaikymas patogiam poilsiui, laisvalaikiui </t>
  </si>
  <si>
    <t>2026 m. Kėdainių rajono savivaldybės biudžetinių įstaigų savarankiškoms funkcijoms skirtų išlaidų sąmatų projektas</t>
  </si>
  <si>
    <t>(paskaičiuotas pagal nustatytus kriterijus  )</t>
  </si>
  <si>
    <t>2026 m</t>
  </si>
  <si>
    <t>išvežimo  išl.</t>
  </si>
  <si>
    <t>kelionės</t>
  </si>
  <si>
    <t>proc. soc. pašal</t>
  </si>
  <si>
    <t>Ryto progimnazija</t>
  </si>
  <si>
    <t>Valdymas</t>
  </si>
  <si>
    <t>Komunalinis</t>
  </si>
  <si>
    <t>IŠ VISO</t>
  </si>
  <si>
    <t>Mokytojų ir švietimo pagalbos specialistų  pritraukimas, perkvalifikavimas ir skatinimas</t>
  </si>
  <si>
    <t>Sporto sričių  programų finansavimas</t>
  </si>
  <si>
    <t>Sporto projektų finansavimas</t>
  </si>
  <si>
    <t>Sportininkų ir jų trenerių paskatinimas už sporto laimėjimus</t>
  </si>
  <si>
    <t>Socialinės reabilitacijos paslaugų asmenims su negalia  bendruomenėje organizavimas</t>
  </si>
  <si>
    <t>Kėdainių rajono savivaldybės  prisidėjimas prie projektų vykdymo</t>
  </si>
  <si>
    <t xml:space="preserve">KĖDAINIŲ RAJONO SAVIVALDYBĖS 2025-2026 M. BIUDŽETO PAJAMŲ PLANO PALYGINIMAS </t>
  </si>
  <si>
    <t>2026 m.</t>
  </si>
  <si>
    <t>43,62 pastovioji dalis
7,02   kintamoji dalis
50,64</t>
  </si>
  <si>
    <t>43,53 pastovioji dalis
6,91   kintamoji dalis
50,44</t>
  </si>
  <si>
    <t>Infrastruktūros plėtros įmokos</t>
  </si>
  <si>
    <t>Kiti finansavimo šaltiniai:</t>
  </si>
  <si>
    <t xml:space="preserve">Finansinių įsipareigojimų prisiėmimas (skolinimasis) </t>
  </si>
  <si>
    <t xml:space="preserve">Metų pradžios lėšų likutis
</t>
  </si>
  <si>
    <t>Iš viso su likučiu ir skolintomis lėšomis</t>
  </si>
  <si>
    <t>pirminis planas</t>
  </si>
  <si>
    <t xml:space="preserve">suma </t>
  </si>
  <si>
    <t xml:space="preserve">  2026 m. palyginimas su 2025 m. pirminiu planu</t>
  </si>
  <si>
    <t xml:space="preserve">      Pajamų pavadinimas</t>
  </si>
  <si>
    <t>Paaiškinamoji lentelė Nr. 2</t>
  </si>
  <si>
    <t xml:space="preserve">    Paaiškinamoji lentelė Nr.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</si>
</sst>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;\-0.0;;"/>
    <numFmt numFmtId="166" formatCode="#,##0.0"/>
    <numFmt numFmtId="167" formatCode="0.0_ ;\-0.0\ "/>
  </numFmts>
  <fonts count="12" x14ac:knownFonts="1">
    <font>
      <sz val="10"/>
      <name val="Arial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Arial"/>
      <family val="2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4" fillId="0" borderId="0"/>
    <xf numFmtId="0" fontId="7" fillId="0" borderId="0"/>
    <xf numFmtId="0" fontId="8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20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9" fillId="0" borderId="0" xfId="0" applyFont="1"/>
    <xf numFmtId="0" fontId="1" fillId="0" borderId="2" xfId="0" applyFont="1" applyBorder="1"/>
    <xf numFmtId="0" fontId="9" fillId="0" borderId="2" xfId="0" applyFont="1" applyBorder="1"/>
    <xf numFmtId="1" fontId="9" fillId="0" borderId="0" xfId="0" applyNumberFormat="1" applyFont="1"/>
    <xf numFmtId="0" fontId="9" fillId="0" borderId="2" xfId="0" applyFont="1" applyBorder="1" applyAlignment="1">
      <alignment horizontal="right"/>
    </xf>
    <xf numFmtId="166" fontId="9" fillId="0" borderId="0" xfId="0" applyNumberFormat="1" applyFont="1"/>
    <xf numFmtId="0" fontId="9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/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164" fontId="9" fillId="0" borderId="0" xfId="0" applyNumberFormat="1" applyFont="1"/>
    <xf numFmtId="0" fontId="9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164" fontId="1" fillId="0" borderId="2" xfId="0" applyNumberFormat="1" applyFont="1" applyBorder="1" applyAlignment="1">
      <alignment wrapText="1"/>
    </xf>
    <xf numFmtId="0" fontId="1" fillId="0" borderId="6" xfId="0" applyFont="1" applyBorder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9" fillId="0" borderId="2" xfId="0" applyFont="1" applyBorder="1" applyAlignment="1">
      <alignment horizontal="left" vertical="center" wrapText="1"/>
    </xf>
    <xf numFmtId="166" fontId="9" fillId="0" borderId="2" xfId="0" applyNumberFormat="1" applyFont="1" applyBorder="1" applyAlignment="1">
      <alignment horizontal="left" vertical="center" wrapText="1"/>
    </xf>
    <xf numFmtId="166" fontId="9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166" fontId="1" fillId="0" borderId="2" xfId="8" applyNumberFormat="1" applyBorder="1" applyAlignment="1">
      <alignment horizontal="right" vertical="center"/>
    </xf>
    <xf numFmtId="164" fontId="1" fillId="0" borderId="2" xfId="8" applyNumberFormat="1" applyBorder="1" applyAlignment="1">
      <alignment horizontal="left" vertical="center" wrapText="1"/>
    </xf>
    <xf numFmtId="164" fontId="1" fillId="0" borderId="2" xfId="8" applyNumberFormat="1" applyBorder="1" applyAlignment="1">
      <alignment horizontal="right" vertical="center" wrapText="1"/>
    </xf>
    <xf numFmtId="49" fontId="9" fillId="0" borderId="2" xfId="0" applyNumberFormat="1" applyFont="1" applyBorder="1" applyAlignment="1">
      <alignment horizontal="left" vertical="center" wrapText="1"/>
    </xf>
    <xf numFmtId="166" fontId="9" fillId="0" borderId="2" xfId="8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right" vertical="center" wrapText="1"/>
    </xf>
    <xf numFmtId="49" fontId="1" fillId="0" borderId="2" xfId="0" applyNumberFormat="1" applyFont="1" applyBorder="1" applyAlignment="1">
      <alignment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 wrapText="1"/>
    </xf>
    <xf numFmtId="166" fontId="1" fillId="0" borderId="2" xfId="8" applyNumberFormat="1" applyBorder="1" applyAlignment="1">
      <alignment vertical="center"/>
    </xf>
    <xf numFmtId="164" fontId="9" fillId="0" borderId="2" xfId="0" applyNumberFormat="1" applyFont="1" applyBorder="1" applyAlignment="1">
      <alignment vertical="center" wrapText="1"/>
    </xf>
    <xf numFmtId="49" fontId="9" fillId="0" borderId="2" xfId="0" applyNumberFormat="1" applyFont="1" applyBorder="1" applyAlignment="1">
      <alignment horizontal="right" vertical="center"/>
    </xf>
    <xf numFmtId="166" fontId="9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166" fontId="1" fillId="0" borderId="2" xfId="0" applyNumberFormat="1" applyFont="1" applyBorder="1" applyAlignment="1">
      <alignment horizontal="right" vertical="center"/>
    </xf>
    <xf numFmtId="0" fontId="4" fillId="0" borderId="0" xfId="0" applyFont="1"/>
    <xf numFmtId="0" fontId="1" fillId="0" borderId="2" xfId="9" applyBorder="1" applyAlignment="1">
      <alignment vertical="center" wrapText="1"/>
    </xf>
    <xf numFmtId="0" fontId="1" fillId="0" borderId="2" xfId="0" applyFont="1" applyBorder="1" applyAlignment="1">
      <alignment horizontal="left" vertical="top" wrapText="1"/>
    </xf>
    <xf numFmtId="166" fontId="1" fillId="0" borderId="2" xfId="0" applyNumberFormat="1" applyFont="1" applyBorder="1" applyAlignment="1">
      <alignment vertical="center"/>
    </xf>
    <xf numFmtId="49" fontId="11" fillId="0" borderId="2" xfId="0" applyNumberFormat="1" applyFont="1" applyBorder="1" applyAlignment="1">
      <alignment horizontal="right" vertical="center" wrapText="1"/>
    </xf>
    <xf numFmtId="166" fontId="9" fillId="0" borderId="2" xfId="0" applyNumberFormat="1" applyFont="1" applyBorder="1" applyAlignment="1">
      <alignment horizontal="right" vertical="center"/>
    </xf>
    <xf numFmtId="166" fontId="4" fillId="0" borderId="0" xfId="0" applyNumberFormat="1" applyFont="1"/>
    <xf numFmtId="0" fontId="10" fillId="0" borderId="0" xfId="0" applyFont="1" applyAlignment="1">
      <alignment horizontal="right" vertical="center"/>
    </xf>
    <xf numFmtId="166" fontId="1" fillId="0" borderId="0" xfId="0" applyNumberFormat="1" applyFont="1" applyAlignment="1">
      <alignment vertical="center"/>
    </xf>
    <xf numFmtId="164" fontId="1" fillId="0" borderId="2" xfId="0" applyNumberFormat="1" applyFont="1" applyBorder="1" applyAlignment="1">
      <alignment horizontal="right" wrapText="1"/>
    </xf>
    <xf numFmtId="0" fontId="10" fillId="0" borderId="0" xfId="0" applyFont="1"/>
    <xf numFmtId="1" fontId="1" fillId="0" borderId="0" xfId="0" applyNumberFormat="1" applyFont="1"/>
    <xf numFmtId="166" fontId="9" fillId="0" borderId="2" xfId="0" applyNumberFormat="1" applyFont="1" applyBorder="1" applyAlignment="1">
      <alignment horizontal="right"/>
    </xf>
    <xf numFmtId="166" fontId="9" fillId="0" borderId="2" xfId="0" applyNumberFormat="1" applyFont="1" applyBorder="1"/>
    <xf numFmtId="166" fontId="1" fillId="0" borderId="0" xfId="0" applyNumberFormat="1" applyFont="1"/>
    <xf numFmtId="4" fontId="1" fillId="0" borderId="2" xfId="0" applyNumberFormat="1" applyFont="1" applyBorder="1" applyAlignment="1">
      <alignment wrapText="1"/>
    </xf>
    <xf numFmtId="166" fontId="1" fillId="0" borderId="2" xfId="0" applyNumberFormat="1" applyFont="1" applyBorder="1" applyAlignment="1">
      <alignment wrapText="1"/>
    </xf>
    <xf numFmtId="166" fontId="1" fillId="0" borderId="6" xfId="0" applyNumberFormat="1" applyFont="1" applyBorder="1" applyAlignment="1">
      <alignment horizontal="right"/>
    </xf>
    <xf numFmtId="166" fontId="1" fillId="0" borderId="2" xfId="0" applyNumberFormat="1" applyFont="1" applyBorder="1"/>
    <xf numFmtId="166" fontId="1" fillId="0" borderId="2" xfId="0" applyNumberFormat="1" applyFont="1" applyBorder="1" applyAlignment="1">
      <alignment horizontal="right"/>
    </xf>
    <xf numFmtId="0" fontId="1" fillId="0" borderId="6" xfId="0" applyFont="1" applyBorder="1" applyAlignment="1">
      <alignment wrapText="1"/>
    </xf>
    <xf numFmtId="166" fontId="1" fillId="0" borderId="6" xfId="0" applyNumberFormat="1" applyFont="1" applyBorder="1" applyAlignment="1">
      <alignment horizontal="right" wrapText="1"/>
    </xf>
    <xf numFmtId="0" fontId="10" fillId="0" borderId="2" xfId="0" applyFont="1" applyBorder="1"/>
    <xf numFmtId="166" fontId="10" fillId="0" borderId="2" xfId="0" applyNumberFormat="1" applyFont="1" applyBorder="1" applyAlignment="1">
      <alignment horizontal="right"/>
    </xf>
    <xf numFmtId="0" fontId="9" fillId="0" borderId="2" xfId="0" applyFont="1" applyBorder="1" applyAlignment="1">
      <alignment wrapText="1"/>
    </xf>
    <xf numFmtId="166" fontId="9" fillId="0" borderId="2" xfId="0" applyNumberFormat="1" applyFont="1" applyBorder="1" applyAlignment="1">
      <alignment horizontal="right" wrapText="1"/>
    </xf>
    <xf numFmtId="166" fontId="1" fillId="0" borderId="2" xfId="0" applyNumberFormat="1" applyFont="1" applyBorder="1" applyAlignment="1">
      <alignment horizontal="right" wrapText="1"/>
    </xf>
    <xf numFmtId="0" fontId="9" fillId="0" borderId="2" xfId="1" applyFont="1" applyBorder="1" applyAlignment="1">
      <alignment vertical="center" wrapText="1"/>
    </xf>
    <xf numFmtId="166" fontId="1" fillId="0" borderId="2" xfId="0" applyNumberFormat="1" applyFont="1" applyBorder="1" applyAlignment="1">
      <alignment horizontal="left"/>
    </xf>
    <xf numFmtId="166" fontId="9" fillId="0" borderId="0" xfId="0" applyNumberFormat="1" applyFont="1" applyAlignment="1">
      <alignment horizontal="right"/>
    </xf>
    <xf numFmtId="166" fontId="10" fillId="0" borderId="0" xfId="0" applyNumberFormat="1" applyFont="1"/>
    <xf numFmtId="0" fontId="9" fillId="0" borderId="0" xfId="0" applyFont="1" applyAlignment="1">
      <alignment horizontal="center" wrapText="1"/>
    </xf>
    <xf numFmtId="164" fontId="1" fillId="0" borderId="1" xfId="6" applyNumberFormat="1" applyBorder="1" applyAlignment="1">
      <alignment horizontal="left" vertical="center"/>
    </xf>
    <xf numFmtId="165" fontId="1" fillId="0" borderId="2" xfId="0" applyNumberFormat="1" applyFont="1" applyBorder="1"/>
    <xf numFmtId="165" fontId="1" fillId="0" borderId="2" xfId="0" applyNumberFormat="1" applyFont="1" applyBorder="1" applyAlignment="1">
      <alignment wrapText="1"/>
    </xf>
    <xf numFmtId="164" fontId="5" fillId="0" borderId="0" xfId="5" applyNumberFormat="1" applyFont="1"/>
    <xf numFmtId="164" fontId="9" fillId="0" borderId="0" xfId="5" applyNumberFormat="1" applyFont="1"/>
    <xf numFmtId="164" fontId="1" fillId="0" borderId="0" xfId="5" applyNumberFormat="1"/>
    <xf numFmtId="0" fontId="6" fillId="0" borderId="0" xfId="0" applyFont="1"/>
    <xf numFmtId="0" fontId="2" fillId="0" borderId="3" xfId="0" applyFont="1" applyBorder="1"/>
    <xf numFmtId="164" fontId="2" fillId="0" borderId="3" xfId="10" applyNumberFormat="1" applyFont="1" applyBorder="1" applyAlignment="1">
      <alignment horizontal="center"/>
    </xf>
    <xf numFmtId="164" fontId="2" fillId="0" borderId="9" xfId="10" applyNumberFormat="1" applyFont="1" applyBorder="1" applyAlignment="1">
      <alignment horizontal="center"/>
    </xf>
    <xf numFmtId="164" fontId="2" fillId="0" borderId="3" xfId="10" applyNumberFormat="1" applyFont="1" applyBorder="1"/>
    <xf numFmtId="164" fontId="2" fillId="0" borderId="7" xfId="10" applyNumberFormat="1" applyFont="1" applyBorder="1" applyAlignment="1">
      <alignment horizontal="center"/>
    </xf>
    <xf numFmtId="0" fontId="2" fillId="0" borderId="15" xfId="0" applyFont="1" applyBorder="1"/>
    <xf numFmtId="164" fontId="2" fillId="0" borderId="15" xfId="10" applyNumberFormat="1" applyFont="1" applyBorder="1" applyAlignment="1">
      <alignment horizontal="center"/>
    </xf>
    <xf numFmtId="164" fontId="2" fillId="0" borderId="19" xfId="10" applyNumberFormat="1" applyFont="1" applyBorder="1" applyAlignment="1">
      <alignment horizontal="center"/>
    </xf>
    <xf numFmtId="164" fontId="2" fillId="0" borderId="15" xfId="10" applyNumberFormat="1" applyFont="1" applyBorder="1" applyAlignment="1">
      <alignment horizontal="left"/>
    </xf>
    <xf numFmtId="0" fontId="2" fillId="0" borderId="0" xfId="0" applyFont="1"/>
    <xf numFmtId="164" fontId="2" fillId="0" borderId="15" xfId="10" applyNumberFormat="1" applyFont="1" applyBorder="1"/>
    <xf numFmtId="164" fontId="2" fillId="0" borderId="14" xfId="10" applyNumberFormat="1" applyFont="1" applyBorder="1" applyAlignment="1">
      <alignment horizontal="center"/>
    </xf>
    <xf numFmtId="164" fontId="2" fillId="0" borderId="8" xfId="10" applyNumberFormat="1" applyFont="1" applyBorder="1" applyAlignment="1">
      <alignment horizontal="center"/>
    </xf>
    <xf numFmtId="164" fontId="2" fillId="0" borderId="4" xfId="10" applyNumberFormat="1" applyFont="1" applyBorder="1" applyAlignment="1">
      <alignment horizontal="center"/>
    </xf>
    <xf numFmtId="164" fontId="2" fillId="0" borderId="15" xfId="6" applyNumberFormat="1" applyFont="1" applyBorder="1" applyAlignment="1">
      <alignment horizontal="center"/>
    </xf>
    <xf numFmtId="0" fontId="2" fillId="0" borderId="19" xfId="0" applyFont="1" applyBorder="1"/>
    <xf numFmtId="0" fontId="2" fillId="0" borderId="15" xfId="0" applyFont="1" applyBorder="1" applyAlignment="1">
      <alignment horizontal="center"/>
    </xf>
    <xf numFmtId="164" fontId="2" fillId="0" borderId="11" xfId="10" applyNumberFormat="1" applyFont="1" applyBorder="1" applyAlignment="1">
      <alignment horizontal="center"/>
    </xf>
    <xf numFmtId="164" fontId="2" fillId="0" borderId="12" xfId="10" applyNumberFormat="1" applyFont="1" applyBorder="1" applyAlignment="1">
      <alignment horizontal="center"/>
    </xf>
    <xf numFmtId="164" fontId="2" fillId="0" borderId="3" xfId="10" applyNumberFormat="1" applyFont="1" applyBorder="1" applyAlignment="1">
      <alignment vertical="top" wrapText="1"/>
    </xf>
    <xf numFmtId="164" fontId="6" fillId="0" borderId="3" xfId="10" applyNumberFormat="1" applyFont="1" applyBorder="1" applyAlignment="1">
      <alignment horizontal="center" vertical="top" wrapText="1"/>
    </xf>
    <xf numFmtId="0" fontId="2" fillId="0" borderId="21" xfId="0" applyFont="1" applyBorder="1"/>
    <xf numFmtId="164" fontId="2" fillId="0" borderId="22" xfId="10" applyNumberFormat="1" applyFont="1" applyBorder="1" applyAlignment="1">
      <alignment horizontal="center"/>
    </xf>
    <xf numFmtId="0" fontId="2" fillId="0" borderId="22" xfId="0" applyFont="1" applyBorder="1"/>
    <xf numFmtId="0" fontId="2" fillId="0" borderId="23" xfId="0" applyFont="1" applyBorder="1"/>
    <xf numFmtId="1" fontId="9" fillId="0" borderId="2" xfId="6" applyNumberFormat="1" applyFont="1" applyBorder="1" applyAlignment="1">
      <alignment horizontal="center"/>
    </xf>
    <xf numFmtId="0" fontId="9" fillId="0" borderId="2" xfId="6" applyFont="1" applyBorder="1" applyAlignment="1">
      <alignment horizontal="center"/>
    </xf>
    <xf numFmtId="1" fontId="9" fillId="0" borderId="2" xfId="1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" fillId="0" borderId="2" xfId="6" applyBorder="1"/>
    <xf numFmtId="0" fontId="2" fillId="0" borderId="2" xfId="0" applyFont="1" applyBorder="1"/>
    <xf numFmtId="164" fontId="1" fillId="0" borderId="2" xfId="10" applyNumberFormat="1" applyBorder="1" applyAlignment="1">
      <alignment horizontal="right"/>
    </xf>
    <xf numFmtId="0" fontId="1" fillId="0" borderId="2" xfId="0" applyFont="1" applyBorder="1" applyAlignment="1">
      <alignment horizontal="right"/>
    </xf>
    <xf numFmtId="167" fontId="9" fillId="0" borderId="0" xfId="0" applyNumberFormat="1" applyFont="1"/>
    <xf numFmtId="164" fontId="1" fillId="0" borderId="2" xfId="10" applyNumberFormat="1" applyBorder="1" applyAlignment="1">
      <alignment horizontal="right" wrapText="1"/>
    </xf>
    <xf numFmtId="164" fontId="5" fillId="0" borderId="2" xfId="0" applyNumberFormat="1" applyFont="1" applyBorder="1" applyAlignment="1">
      <alignment horizontal="right"/>
    </xf>
    <xf numFmtId="164" fontId="9" fillId="0" borderId="2" xfId="0" applyNumberFormat="1" applyFont="1" applyBorder="1" applyAlignment="1">
      <alignment horizontal="right"/>
    </xf>
    <xf numFmtId="164" fontId="9" fillId="0" borderId="2" xfId="6" applyNumberFormat="1" applyFont="1" applyBorder="1" applyAlignment="1">
      <alignment horizontal="right"/>
    </xf>
    <xf numFmtId="164" fontId="1" fillId="0" borderId="2" xfId="6" applyNumberFormat="1" applyBorder="1" applyAlignment="1">
      <alignment horizontal="right"/>
    </xf>
    <xf numFmtId="2" fontId="1" fillId="0" borderId="2" xfId="0" applyNumberFormat="1" applyFont="1" applyBorder="1"/>
    <xf numFmtId="0" fontId="2" fillId="0" borderId="2" xfId="0" applyFont="1" applyBorder="1" applyAlignment="1">
      <alignment wrapText="1"/>
    </xf>
    <xf numFmtId="0" fontId="9" fillId="0" borderId="0" xfId="0" applyFont="1" applyAlignment="1">
      <alignment wrapText="1"/>
    </xf>
    <xf numFmtId="167" fontId="1" fillId="0" borderId="2" xfId="0" applyNumberFormat="1" applyFont="1" applyBorder="1"/>
    <xf numFmtId="164" fontId="1" fillId="0" borderId="2" xfId="6" applyNumberFormat="1" applyBorder="1"/>
    <xf numFmtId="164" fontId="2" fillId="0" borderId="2" xfId="0" applyNumberFormat="1" applyFont="1" applyBorder="1" applyAlignment="1">
      <alignment horizontal="left"/>
    </xf>
    <xf numFmtId="0" fontId="5" fillId="0" borderId="2" xfId="0" applyFont="1" applyBorder="1"/>
    <xf numFmtId="164" fontId="2" fillId="0" borderId="2" xfId="0" applyNumberFormat="1" applyFont="1" applyBorder="1"/>
    <xf numFmtId="164" fontId="5" fillId="0" borderId="2" xfId="6" applyNumberFormat="1" applyFont="1" applyBorder="1" applyAlignment="1">
      <alignment horizontal="right" wrapText="1"/>
    </xf>
    <xf numFmtId="164" fontId="5" fillId="0" borderId="2" xfId="6" applyNumberFormat="1" applyFont="1" applyBorder="1" applyAlignment="1">
      <alignment horizontal="right"/>
    </xf>
    <xf numFmtId="164" fontId="9" fillId="0" borderId="2" xfId="6" applyNumberFormat="1" applyFont="1" applyBorder="1" applyAlignment="1">
      <alignment horizontal="left" wrapText="1"/>
    </xf>
    <xf numFmtId="0" fontId="2" fillId="0" borderId="2" xfId="5" applyFont="1" applyBorder="1" applyAlignment="1">
      <alignment horizontal="left" wrapText="1"/>
    </xf>
    <xf numFmtId="49" fontId="2" fillId="0" borderId="2" xfId="0" applyNumberFormat="1" applyFont="1" applyBorder="1" applyAlignment="1">
      <alignment vertical="top" wrapText="1"/>
    </xf>
    <xf numFmtId="164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2" xfId="9" applyFont="1" applyBorder="1" applyAlignment="1">
      <alignment vertical="center" wrapText="1"/>
    </xf>
    <xf numFmtId="0" fontId="2" fillId="0" borderId="2" xfId="0" applyFont="1" applyBorder="1" applyAlignment="1">
      <alignment vertical="top" wrapText="1"/>
    </xf>
    <xf numFmtId="0" fontId="2" fillId="0" borderId="2" xfId="5" applyFont="1" applyBorder="1" applyAlignment="1">
      <alignment wrapText="1"/>
    </xf>
    <xf numFmtId="0" fontId="9" fillId="0" borderId="2" xfId="5" applyFont="1" applyBorder="1" applyAlignment="1">
      <alignment wrapText="1"/>
    </xf>
    <xf numFmtId="0" fontId="2" fillId="0" borderId="2" xfId="0" applyFont="1" applyBorder="1" applyAlignment="1">
      <alignment vertical="center" wrapText="1"/>
    </xf>
    <xf numFmtId="164" fontId="2" fillId="0" borderId="2" xfId="6" applyNumberFormat="1" applyFont="1" applyBorder="1" applyAlignment="1">
      <alignment wrapText="1"/>
    </xf>
    <xf numFmtId="164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vertical="center" wrapText="1"/>
    </xf>
    <xf numFmtId="0" fontId="9" fillId="0" borderId="2" xfId="0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left" vertical="center" wrapText="1"/>
    </xf>
    <xf numFmtId="0" fontId="5" fillId="0" borderId="2" xfId="5" applyFont="1" applyBorder="1" applyAlignment="1">
      <alignment wrapText="1"/>
    </xf>
    <xf numFmtId="164" fontId="9" fillId="0" borderId="2" xfId="10" applyNumberFormat="1" applyFont="1" applyBorder="1" applyAlignment="1">
      <alignment horizontal="right"/>
    </xf>
    <xf numFmtId="164" fontId="9" fillId="0" borderId="2" xfId="0" applyNumberFormat="1" applyFont="1" applyBorder="1"/>
    <xf numFmtId="0" fontId="5" fillId="0" borderId="2" xfId="5" applyFont="1" applyBorder="1" applyAlignment="1">
      <alignment horizontal="right"/>
    </xf>
    <xf numFmtId="164" fontId="9" fillId="0" borderId="2" xfId="6" applyNumberFormat="1" applyFont="1" applyBorder="1" applyAlignment="1">
      <alignment horizontal="right" wrapText="1"/>
    </xf>
    <xf numFmtId="0" fontId="1" fillId="0" borderId="14" xfId="0" applyFont="1" applyBorder="1"/>
    <xf numFmtId="164" fontId="2" fillId="0" borderId="15" xfId="6" applyNumberFormat="1" applyFont="1" applyBorder="1"/>
    <xf numFmtId="164" fontId="2" fillId="0" borderId="15" xfId="10" applyNumberFormat="1" applyFont="1" applyBorder="1" applyAlignment="1">
      <alignment vertical="top" wrapText="1"/>
    </xf>
    <xf numFmtId="164" fontId="6" fillId="0" borderId="15" xfId="1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right"/>
    </xf>
    <xf numFmtId="0" fontId="9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164" fontId="2" fillId="0" borderId="16" xfId="10" applyNumberFormat="1" applyFont="1" applyBorder="1" applyAlignment="1">
      <alignment horizontal="center"/>
    </xf>
    <xf numFmtId="164" fontId="2" fillId="0" borderId="17" xfId="10" applyNumberFormat="1" applyFont="1" applyBorder="1" applyAlignment="1">
      <alignment horizontal="center"/>
    </xf>
    <xf numFmtId="164" fontId="2" fillId="0" borderId="18" xfId="10" applyNumberFormat="1" applyFont="1" applyBorder="1" applyAlignment="1">
      <alignment horizontal="center"/>
    </xf>
    <xf numFmtId="164" fontId="2" fillId="0" borderId="7" xfId="10" applyNumberFormat="1" applyFont="1" applyBorder="1" applyAlignment="1">
      <alignment horizontal="center" vertical="top" wrapText="1"/>
    </xf>
    <xf numFmtId="164" fontId="2" fillId="0" borderId="9" xfId="10" applyNumberFormat="1" applyFont="1" applyBorder="1" applyAlignment="1">
      <alignment horizontal="center" vertical="top" wrapText="1"/>
    </xf>
    <xf numFmtId="164" fontId="2" fillId="0" borderId="14" xfId="10" applyNumberFormat="1" applyFont="1" applyBorder="1" applyAlignment="1">
      <alignment horizontal="center" vertical="top" wrapText="1"/>
    </xf>
    <xf numFmtId="164" fontId="2" fillId="0" borderId="19" xfId="1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right" vertical="center"/>
    </xf>
    <xf numFmtId="49" fontId="9" fillId="0" borderId="0" xfId="0" applyNumberFormat="1" applyFont="1" applyAlignment="1">
      <alignment horizontal="center" vertical="center" wrapText="1"/>
    </xf>
    <xf numFmtId="0" fontId="1" fillId="0" borderId="10" xfId="0" applyFont="1" applyBorder="1" applyAlignment="1">
      <alignment horizontal="right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9" fillId="0" borderId="0" xfId="0" applyFont="1" applyAlignment="1">
      <alignment horizontal="center" wrapText="1"/>
    </xf>
  </cellXfs>
  <cellStyles count="11">
    <cellStyle name="Įprastas 2" xfId="1" xr:uid="{2C4BF4D8-AFFD-4D9A-A613-8B10CD95686B}"/>
    <cellStyle name="Įprastas 3" xfId="2" xr:uid="{39FCF3F5-EB3F-4208-9B72-95E37E238DF0}"/>
    <cellStyle name="Įprastas 4" xfId="3" xr:uid="{F40BE23B-BD26-403E-8184-2876B8BF4106}"/>
    <cellStyle name="Normal" xfId="0" builtinId="0"/>
    <cellStyle name="Normal 5" xfId="4" xr:uid="{08E56C53-CB02-4428-821E-99E3A5596238}"/>
    <cellStyle name="Normal_biudžetas 6" xfId="5" xr:uid="{6BE1DB9B-8DE8-4EC9-989C-4A83935C9DDE}"/>
    <cellStyle name="Normal_biudžetas 6_2009 m 02 men biudzetas." xfId="9" xr:uid="{0322DD4A-2349-4799-B232-DE0882407764}"/>
    <cellStyle name="Normal_projektas" xfId="10" xr:uid="{51C70475-A7AD-4B10-8B2D-82C269FD8D2B}"/>
    <cellStyle name="Normal_Sheet1" xfId="6" xr:uid="{DA85BD38-9EA2-48FF-9087-38F8126DC4D4}"/>
    <cellStyle name="Normal_Sheet1_2009 m 02 men biudzetas." xfId="8" xr:uid="{7E4F1259-A308-4A5F-B3F7-D92ACF07F21A}"/>
    <cellStyle name="Paprastas_2008 m biudžetas" xfId="7" xr:uid="{0C6FCCA4-25F2-4EEC-A706-A8CC35F1751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B328E-88D7-4005-A04C-C6ACD1E48C59}">
  <dimension ref="A1:I59"/>
  <sheetViews>
    <sheetView tabSelected="1" workbookViewId="0">
      <selection activeCell="A3" sqref="A3:E3"/>
    </sheetView>
  </sheetViews>
  <sheetFormatPr defaultRowHeight="12.75" x14ac:dyDescent="0.2"/>
  <cols>
    <col min="1" max="1" width="48.85546875" style="1" customWidth="1"/>
    <col min="2" max="3" width="12.5703125" style="1" customWidth="1"/>
    <col min="4" max="4" width="7.85546875" style="1" customWidth="1"/>
    <col min="5" max="5" width="10.85546875" style="1" customWidth="1"/>
    <col min="6" max="6" width="9.140625" style="1"/>
    <col min="7" max="7" width="9.140625" style="69"/>
    <col min="8" max="8" width="8.5703125" style="1" customWidth="1"/>
    <col min="9" max="254" width="9.140625" style="1"/>
    <col min="255" max="255" width="47.7109375" style="1" customWidth="1"/>
    <col min="256" max="257" width="9.140625" style="1"/>
    <col min="258" max="258" width="9.5703125" style="1" bestFit="1" customWidth="1"/>
    <col min="259" max="510" width="9.140625" style="1"/>
    <col min="511" max="511" width="47.7109375" style="1" customWidth="1"/>
    <col min="512" max="513" width="9.140625" style="1"/>
    <col min="514" max="514" width="9.5703125" style="1" bestFit="1" customWidth="1"/>
    <col min="515" max="766" width="9.140625" style="1"/>
    <col min="767" max="767" width="47.7109375" style="1" customWidth="1"/>
    <col min="768" max="769" width="9.140625" style="1"/>
    <col min="770" max="770" width="9.5703125" style="1" bestFit="1" customWidth="1"/>
    <col min="771" max="1022" width="9.140625" style="1"/>
    <col min="1023" max="1023" width="47.7109375" style="1" customWidth="1"/>
    <col min="1024" max="1025" width="9.140625" style="1"/>
    <col min="1026" max="1026" width="9.5703125" style="1" bestFit="1" customWidth="1"/>
    <col min="1027" max="1278" width="9.140625" style="1"/>
    <col min="1279" max="1279" width="47.7109375" style="1" customWidth="1"/>
    <col min="1280" max="1281" width="9.140625" style="1"/>
    <col min="1282" max="1282" width="9.5703125" style="1" bestFit="1" customWidth="1"/>
    <col min="1283" max="1534" width="9.140625" style="1"/>
    <col min="1535" max="1535" width="47.7109375" style="1" customWidth="1"/>
    <col min="1536" max="1537" width="9.140625" style="1"/>
    <col min="1538" max="1538" width="9.5703125" style="1" bestFit="1" customWidth="1"/>
    <col min="1539" max="1790" width="9.140625" style="1"/>
    <col min="1791" max="1791" width="47.7109375" style="1" customWidth="1"/>
    <col min="1792" max="1793" width="9.140625" style="1"/>
    <col min="1794" max="1794" width="9.5703125" style="1" bestFit="1" customWidth="1"/>
    <col min="1795" max="2046" width="9.140625" style="1"/>
    <col min="2047" max="2047" width="47.7109375" style="1" customWidth="1"/>
    <col min="2048" max="2049" width="9.140625" style="1"/>
    <col min="2050" max="2050" width="9.5703125" style="1" bestFit="1" customWidth="1"/>
    <col min="2051" max="2302" width="9.140625" style="1"/>
    <col min="2303" max="2303" width="47.7109375" style="1" customWidth="1"/>
    <col min="2304" max="2305" width="9.140625" style="1"/>
    <col min="2306" max="2306" width="9.5703125" style="1" bestFit="1" customWidth="1"/>
    <col min="2307" max="2558" width="9.140625" style="1"/>
    <col min="2559" max="2559" width="47.7109375" style="1" customWidth="1"/>
    <col min="2560" max="2561" width="9.140625" style="1"/>
    <col min="2562" max="2562" width="9.5703125" style="1" bestFit="1" customWidth="1"/>
    <col min="2563" max="2814" width="9.140625" style="1"/>
    <col min="2815" max="2815" width="47.7109375" style="1" customWidth="1"/>
    <col min="2816" max="2817" width="9.140625" style="1"/>
    <col min="2818" max="2818" width="9.5703125" style="1" bestFit="1" customWidth="1"/>
    <col min="2819" max="3070" width="9.140625" style="1"/>
    <col min="3071" max="3071" width="47.7109375" style="1" customWidth="1"/>
    <col min="3072" max="3073" width="9.140625" style="1"/>
    <col min="3074" max="3074" width="9.5703125" style="1" bestFit="1" customWidth="1"/>
    <col min="3075" max="3326" width="9.140625" style="1"/>
    <col min="3327" max="3327" width="47.7109375" style="1" customWidth="1"/>
    <col min="3328" max="3329" width="9.140625" style="1"/>
    <col min="3330" max="3330" width="9.5703125" style="1" bestFit="1" customWidth="1"/>
    <col min="3331" max="3582" width="9.140625" style="1"/>
    <col min="3583" max="3583" width="47.7109375" style="1" customWidth="1"/>
    <col min="3584" max="3585" width="9.140625" style="1"/>
    <col min="3586" max="3586" width="9.5703125" style="1" bestFit="1" customWidth="1"/>
    <col min="3587" max="3838" width="9.140625" style="1"/>
    <col min="3839" max="3839" width="47.7109375" style="1" customWidth="1"/>
    <col min="3840" max="3841" width="9.140625" style="1"/>
    <col min="3842" max="3842" width="9.5703125" style="1" bestFit="1" customWidth="1"/>
    <col min="3843" max="4094" width="9.140625" style="1"/>
    <col min="4095" max="4095" width="47.7109375" style="1" customWidth="1"/>
    <col min="4096" max="4097" width="9.140625" style="1"/>
    <col min="4098" max="4098" width="9.5703125" style="1" bestFit="1" customWidth="1"/>
    <col min="4099" max="4350" width="9.140625" style="1"/>
    <col min="4351" max="4351" width="47.7109375" style="1" customWidth="1"/>
    <col min="4352" max="4353" width="9.140625" style="1"/>
    <col min="4354" max="4354" width="9.5703125" style="1" bestFit="1" customWidth="1"/>
    <col min="4355" max="4606" width="9.140625" style="1"/>
    <col min="4607" max="4607" width="47.7109375" style="1" customWidth="1"/>
    <col min="4608" max="4609" width="9.140625" style="1"/>
    <col min="4610" max="4610" width="9.5703125" style="1" bestFit="1" customWidth="1"/>
    <col min="4611" max="4862" width="9.140625" style="1"/>
    <col min="4863" max="4863" width="47.7109375" style="1" customWidth="1"/>
    <col min="4864" max="4865" width="9.140625" style="1"/>
    <col min="4866" max="4866" width="9.5703125" style="1" bestFit="1" customWidth="1"/>
    <col min="4867" max="5118" width="9.140625" style="1"/>
    <col min="5119" max="5119" width="47.7109375" style="1" customWidth="1"/>
    <col min="5120" max="5121" width="9.140625" style="1"/>
    <col min="5122" max="5122" width="9.5703125" style="1" bestFit="1" customWidth="1"/>
    <col min="5123" max="5374" width="9.140625" style="1"/>
    <col min="5375" max="5375" width="47.7109375" style="1" customWidth="1"/>
    <col min="5376" max="5377" width="9.140625" style="1"/>
    <col min="5378" max="5378" width="9.5703125" style="1" bestFit="1" customWidth="1"/>
    <col min="5379" max="5630" width="9.140625" style="1"/>
    <col min="5631" max="5631" width="47.7109375" style="1" customWidth="1"/>
    <col min="5632" max="5633" width="9.140625" style="1"/>
    <col min="5634" max="5634" width="9.5703125" style="1" bestFit="1" customWidth="1"/>
    <col min="5635" max="5886" width="9.140625" style="1"/>
    <col min="5887" max="5887" width="47.7109375" style="1" customWidth="1"/>
    <col min="5888" max="5889" width="9.140625" style="1"/>
    <col min="5890" max="5890" width="9.5703125" style="1" bestFit="1" customWidth="1"/>
    <col min="5891" max="6142" width="9.140625" style="1"/>
    <col min="6143" max="6143" width="47.7109375" style="1" customWidth="1"/>
    <col min="6144" max="6145" width="9.140625" style="1"/>
    <col min="6146" max="6146" width="9.5703125" style="1" bestFit="1" customWidth="1"/>
    <col min="6147" max="6398" width="9.140625" style="1"/>
    <col min="6399" max="6399" width="47.7109375" style="1" customWidth="1"/>
    <col min="6400" max="6401" width="9.140625" style="1"/>
    <col min="6402" max="6402" width="9.5703125" style="1" bestFit="1" customWidth="1"/>
    <col min="6403" max="6654" width="9.140625" style="1"/>
    <col min="6655" max="6655" width="47.7109375" style="1" customWidth="1"/>
    <col min="6656" max="6657" width="9.140625" style="1"/>
    <col min="6658" max="6658" width="9.5703125" style="1" bestFit="1" customWidth="1"/>
    <col min="6659" max="6910" width="9.140625" style="1"/>
    <col min="6911" max="6911" width="47.7109375" style="1" customWidth="1"/>
    <col min="6912" max="6913" width="9.140625" style="1"/>
    <col min="6914" max="6914" width="9.5703125" style="1" bestFit="1" customWidth="1"/>
    <col min="6915" max="7166" width="9.140625" style="1"/>
    <col min="7167" max="7167" width="47.7109375" style="1" customWidth="1"/>
    <col min="7168" max="7169" width="9.140625" style="1"/>
    <col min="7170" max="7170" width="9.5703125" style="1" bestFit="1" customWidth="1"/>
    <col min="7171" max="7422" width="9.140625" style="1"/>
    <col min="7423" max="7423" width="47.7109375" style="1" customWidth="1"/>
    <col min="7424" max="7425" width="9.140625" style="1"/>
    <col min="7426" max="7426" width="9.5703125" style="1" bestFit="1" customWidth="1"/>
    <col min="7427" max="7678" width="9.140625" style="1"/>
    <col min="7679" max="7679" width="47.7109375" style="1" customWidth="1"/>
    <col min="7680" max="7681" width="9.140625" style="1"/>
    <col min="7682" max="7682" width="9.5703125" style="1" bestFit="1" customWidth="1"/>
    <col min="7683" max="7934" width="9.140625" style="1"/>
    <col min="7935" max="7935" width="47.7109375" style="1" customWidth="1"/>
    <col min="7936" max="7937" width="9.140625" style="1"/>
    <col min="7938" max="7938" width="9.5703125" style="1" bestFit="1" customWidth="1"/>
    <col min="7939" max="8190" width="9.140625" style="1"/>
    <col min="8191" max="8191" width="47.7109375" style="1" customWidth="1"/>
    <col min="8192" max="8193" width="9.140625" style="1"/>
    <col min="8194" max="8194" width="9.5703125" style="1" bestFit="1" customWidth="1"/>
    <col min="8195" max="8446" width="9.140625" style="1"/>
    <col min="8447" max="8447" width="47.7109375" style="1" customWidth="1"/>
    <col min="8448" max="8449" width="9.140625" style="1"/>
    <col min="8450" max="8450" width="9.5703125" style="1" bestFit="1" customWidth="1"/>
    <col min="8451" max="8702" width="9.140625" style="1"/>
    <col min="8703" max="8703" width="47.7109375" style="1" customWidth="1"/>
    <col min="8704" max="8705" width="9.140625" style="1"/>
    <col min="8706" max="8706" width="9.5703125" style="1" bestFit="1" customWidth="1"/>
    <col min="8707" max="8958" width="9.140625" style="1"/>
    <col min="8959" max="8959" width="47.7109375" style="1" customWidth="1"/>
    <col min="8960" max="8961" width="9.140625" style="1"/>
    <col min="8962" max="8962" width="9.5703125" style="1" bestFit="1" customWidth="1"/>
    <col min="8963" max="9214" width="9.140625" style="1"/>
    <col min="9215" max="9215" width="47.7109375" style="1" customWidth="1"/>
    <col min="9216" max="9217" width="9.140625" style="1"/>
    <col min="9218" max="9218" width="9.5703125" style="1" bestFit="1" customWidth="1"/>
    <col min="9219" max="9470" width="9.140625" style="1"/>
    <col min="9471" max="9471" width="47.7109375" style="1" customWidth="1"/>
    <col min="9472" max="9473" width="9.140625" style="1"/>
    <col min="9474" max="9474" width="9.5703125" style="1" bestFit="1" customWidth="1"/>
    <col min="9475" max="9726" width="9.140625" style="1"/>
    <col min="9727" max="9727" width="47.7109375" style="1" customWidth="1"/>
    <col min="9728" max="9729" width="9.140625" style="1"/>
    <col min="9730" max="9730" width="9.5703125" style="1" bestFit="1" customWidth="1"/>
    <col min="9731" max="9982" width="9.140625" style="1"/>
    <col min="9983" max="9983" width="47.7109375" style="1" customWidth="1"/>
    <col min="9984" max="9985" width="9.140625" style="1"/>
    <col min="9986" max="9986" width="9.5703125" style="1" bestFit="1" customWidth="1"/>
    <col min="9987" max="10238" width="9.140625" style="1"/>
    <col min="10239" max="10239" width="47.7109375" style="1" customWidth="1"/>
    <col min="10240" max="10241" width="9.140625" style="1"/>
    <col min="10242" max="10242" width="9.5703125" style="1" bestFit="1" customWidth="1"/>
    <col min="10243" max="10494" width="9.140625" style="1"/>
    <col min="10495" max="10495" width="47.7109375" style="1" customWidth="1"/>
    <col min="10496" max="10497" width="9.140625" style="1"/>
    <col min="10498" max="10498" width="9.5703125" style="1" bestFit="1" customWidth="1"/>
    <col min="10499" max="10750" width="9.140625" style="1"/>
    <col min="10751" max="10751" width="47.7109375" style="1" customWidth="1"/>
    <col min="10752" max="10753" width="9.140625" style="1"/>
    <col min="10754" max="10754" width="9.5703125" style="1" bestFit="1" customWidth="1"/>
    <col min="10755" max="11006" width="9.140625" style="1"/>
    <col min="11007" max="11007" width="47.7109375" style="1" customWidth="1"/>
    <col min="11008" max="11009" width="9.140625" style="1"/>
    <col min="11010" max="11010" width="9.5703125" style="1" bestFit="1" customWidth="1"/>
    <col min="11011" max="11262" width="9.140625" style="1"/>
    <col min="11263" max="11263" width="47.7109375" style="1" customWidth="1"/>
    <col min="11264" max="11265" width="9.140625" style="1"/>
    <col min="11266" max="11266" width="9.5703125" style="1" bestFit="1" customWidth="1"/>
    <col min="11267" max="11518" width="9.140625" style="1"/>
    <col min="11519" max="11519" width="47.7109375" style="1" customWidth="1"/>
    <col min="11520" max="11521" width="9.140625" style="1"/>
    <col min="11522" max="11522" width="9.5703125" style="1" bestFit="1" customWidth="1"/>
    <col min="11523" max="11774" width="9.140625" style="1"/>
    <col min="11775" max="11775" width="47.7109375" style="1" customWidth="1"/>
    <col min="11776" max="11777" width="9.140625" style="1"/>
    <col min="11778" max="11778" width="9.5703125" style="1" bestFit="1" customWidth="1"/>
    <col min="11779" max="12030" width="9.140625" style="1"/>
    <col min="12031" max="12031" width="47.7109375" style="1" customWidth="1"/>
    <col min="12032" max="12033" width="9.140625" style="1"/>
    <col min="12034" max="12034" width="9.5703125" style="1" bestFit="1" customWidth="1"/>
    <col min="12035" max="12286" width="9.140625" style="1"/>
    <col min="12287" max="12287" width="47.7109375" style="1" customWidth="1"/>
    <col min="12288" max="12289" width="9.140625" style="1"/>
    <col min="12290" max="12290" width="9.5703125" style="1" bestFit="1" customWidth="1"/>
    <col min="12291" max="12542" width="9.140625" style="1"/>
    <col min="12543" max="12543" width="47.7109375" style="1" customWidth="1"/>
    <col min="12544" max="12545" width="9.140625" style="1"/>
    <col min="12546" max="12546" width="9.5703125" style="1" bestFit="1" customWidth="1"/>
    <col min="12547" max="12798" width="9.140625" style="1"/>
    <col min="12799" max="12799" width="47.7109375" style="1" customWidth="1"/>
    <col min="12800" max="12801" width="9.140625" style="1"/>
    <col min="12802" max="12802" width="9.5703125" style="1" bestFit="1" customWidth="1"/>
    <col min="12803" max="13054" width="9.140625" style="1"/>
    <col min="13055" max="13055" width="47.7109375" style="1" customWidth="1"/>
    <col min="13056" max="13057" width="9.140625" style="1"/>
    <col min="13058" max="13058" width="9.5703125" style="1" bestFit="1" customWidth="1"/>
    <col min="13059" max="13310" width="9.140625" style="1"/>
    <col min="13311" max="13311" width="47.7109375" style="1" customWidth="1"/>
    <col min="13312" max="13313" width="9.140625" style="1"/>
    <col min="13314" max="13314" width="9.5703125" style="1" bestFit="1" customWidth="1"/>
    <col min="13315" max="13566" width="9.140625" style="1"/>
    <col min="13567" max="13567" width="47.7109375" style="1" customWidth="1"/>
    <col min="13568" max="13569" width="9.140625" style="1"/>
    <col min="13570" max="13570" width="9.5703125" style="1" bestFit="1" customWidth="1"/>
    <col min="13571" max="13822" width="9.140625" style="1"/>
    <col min="13823" max="13823" width="47.7109375" style="1" customWidth="1"/>
    <col min="13824" max="13825" width="9.140625" style="1"/>
    <col min="13826" max="13826" width="9.5703125" style="1" bestFit="1" customWidth="1"/>
    <col min="13827" max="14078" width="9.140625" style="1"/>
    <col min="14079" max="14079" width="47.7109375" style="1" customWidth="1"/>
    <col min="14080" max="14081" width="9.140625" style="1"/>
    <col min="14082" max="14082" width="9.5703125" style="1" bestFit="1" customWidth="1"/>
    <col min="14083" max="14334" width="9.140625" style="1"/>
    <col min="14335" max="14335" width="47.7109375" style="1" customWidth="1"/>
    <col min="14336" max="14337" width="9.140625" style="1"/>
    <col min="14338" max="14338" width="9.5703125" style="1" bestFit="1" customWidth="1"/>
    <col min="14339" max="14590" width="9.140625" style="1"/>
    <col min="14591" max="14591" width="47.7109375" style="1" customWidth="1"/>
    <col min="14592" max="14593" width="9.140625" style="1"/>
    <col min="14594" max="14594" width="9.5703125" style="1" bestFit="1" customWidth="1"/>
    <col min="14595" max="14846" width="9.140625" style="1"/>
    <col min="14847" max="14847" width="47.7109375" style="1" customWidth="1"/>
    <col min="14848" max="14849" width="9.140625" style="1"/>
    <col min="14850" max="14850" width="9.5703125" style="1" bestFit="1" customWidth="1"/>
    <col min="14851" max="15102" width="9.140625" style="1"/>
    <col min="15103" max="15103" width="47.7109375" style="1" customWidth="1"/>
    <col min="15104" max="15105" width="9.140625" style="1"/>
    <col min="15106" max="15106" width="9.5703125" style="1" bestFit="1" customWidth="1"/>
    <col min="15107" max="15358" width="9.140625" style="1"/>
    <col min="15359" max="15359" width="47.7109375" style="1" customWidth="1"/>
    <col min="15360" max="15361" width="9.140625" style="1"/>
    <col min="15362" max="15362" width="9.5703125" style="1" bestFit="1" customWidth="1"/>
    <col min="15363" max="15614" width="9.140625" style="1"/>
    <col min="15615" max="15615" width="47.7109375" style="1" customWidth="1"/>
    <col min="15616" max="15617" width="9.140625" style="1"/>
    <col min="15618" max="15618" width="9.5703125" style="1" bestFit="1" customWidth="1"/>
    <col min="15619" max="15870" width="9.140625" style="1"/>
    <col min="15871" max="15871" width="47.7109375" style="1" customWidth="1"/>
    <col min="15872" max="15873" width="9.140625" style="1"/>
    <col min="15874" max="15874" width="9.5703125" style="1" bestFit="1" customWidth="1"/>
    <col min="15875" max="16126" width="9.140625" style="1"/>
    <col min="16127" max="16127" width="47.7109375" style="1" customWidth="1"/>
    <col min="16128" max="16129" width="9.140625" style="1"/>
    <col min="16130" max="16130" width="9.5703125" style="1" bestFit="1" customWidth="1"/>
    <col min="16131" max="16384" width="9.140625" style="1"/>
  </cols>
  <sheetData>
    <row r="1" spans="1:9" x14ac:dyDescent="0.2">
      <c r="C1" s="171" t="s">
        <v>255</v>
      </c>
      <c r="D1" s="171"/>
      <c r="E1" s="171"/>
    </row>
    <row r="2" spans="1:9" x14ac:dyDescent="0.2">
      <c r="C2" s="4"/>
      <c r="D2" s="4"/>
      <c r="E2" s="4"/>
    </row>
    <row r="3" spans="1:9" x14ac:dyDescent="0.2">
      <c r="A3" s="172" t="s">
        <v>313</v>
      </c>
      <c r="B3" s="172"/>
      <c r="C3" s="172"/>
      <c r="D3" s="172"/>
      <c r="E3" s="172"/>
    </row>
    <row r="4" spans="1:9" x14ac:dyDescent="0.2">
      <c r="A4" s="5"/>
      <c r="B4" s="5"/>
      <c r="C4" s="5"/>
      <c r="E4" s="4" t="s">
        <v>58</v>
      </c>
    </row>
    <row r="5" spans="1:9" x14ac:dyDescent="0.2">
      <c r="A5" s="173" t="s">
        <v>325</v>
      </c>
      <c r="B5" s="182" t="s">
        <v>322</v>
      </c>
      <c r="C5" s="183"/>
      <c r="D5" s="178" t="s">
        <v>324</v>
      </c>
      <c r="E5" s="179"/>
    </row>
    <row r="6" spans="1:9" ht="27" customHeight="1" x14ac:dyDescent="0.2">
      <c r="A6" s="174"/>
      <c r="B6" s="176" t="s">
        <v>61</v>
      </c>
      <c r="C6" s="176" t="s">
        <v>314</v>
      </c>
      <c r="D6" s="180"/>
      <c r="E6" s="181"/>
    </row>
    <row r="7" spans="1:9" x14ac:dyDescent="0.2">
      <c r="A7" s="175"/>
      <c r="B7" s="177"/>
      <c r="C7" s="177"/>
      <c r="D7" s="15" t="s">
        <v>62</v>
      </c>
      <c r="E7" s="12" t="s">
        <v>323</v>
      </c>
      <c r="I7" s="3"/>
    </row>
    <row r="8" spans="1:9" x14ac:dyDescent="0.2">
      <c r="A8" s="7" t="s">
        <v>63</v>
      </c>
      <c r="B8" s="70">
        <f>+B10+B11+B12+B18</f>
        <v>55943</v>
      </c>
      <c r="C8" s="70">
        <f>+C10+C11+C12+C18</f>
        <v>62260</v>
      </c>
      <c r="D8" s="71">
        <f>+C8*100/B8-100</f>
        <v>11.29185063368071</v>
      </c>
      <c r="E8" s="70">
        <f>+C8-B8</f>
        <v>6317</v>
      </c>
      <c r="F8" s="72"/>
      <c r="G8" s="10"/>
      <c r="H8" s="2"/>
      <c r="I8" s="72"/>
    </row>
    <row r="9" spans="1:9" ht="63.75" x14ac:dyDescent="0.2">
      <c r="A9" s="18" t="s">
        <v>64</v>
      </c>
      <c r="B9" s="73" t="s">
        <v>315</v>
      </c>
      <c r="C9" s="74" t="s">
        <v>316</v>
      </c>
      <c r="D9" s="71"/>
      <c r="E9" s="70"/>
    </row>
    <row r="10" spans="1:9" x14ac:dyDescent="0.2">
      <c r="A10" s="27" t="s">
        <v>65</v>
      </c>
      <c r="B10" s="75">
        <v>52055</v>
      </c>
      <c r="C10" s="76">
        <v>58128</v>
      </c>
      <c r="D10" s="76">
        <f>+C10*100/B10-100</f>
        <v>11.666506579579291</v>
      </c>
      <c r="E10" s="77">
        <f>+C10-B10</f>
        <v>6073</v>
      </c>
      <c r="I10" s="72"/>
    </row>
    <row r="11" spans="1:9" ht="25.5" x14ac:dyDescent="0.2">
      <c r="A11" s="78" t="s">
        <v>66</v>
      </c>
      <c r="B11" s="79">
        <v>50</v>
      </c>
      <c r="C11" s="76">
        <v>50</v>
      </c>
      <c r="D11" s="76">
        <f t="shared" ref="D11:D37" si="0">+C11*100/B11-100</f>
        <v>0</v>
      </c>
      <c r="E11" s="77">
        <f>+C11-B11</f>
        <v>0</v>
      </c>
      <c r="F11" s="72"/>
    </row>
    <row r="12" spans="1:9" x14ac:dyDescent="0.2">
      <c r="A12" s="80" t="s">
        <v>67</v>
      </c>
      <c r="B12" s="81">
        <f>+B13+B14+B15+B16+B17</f>
        <v>3670</v>
      </c>
      <c r="C12" s="81">
        <f>+C13+C14+C15+C16+C17</f>
        <v>3900</v>
      </c>
      <c r="D12" s="76">
        <f t="shared" si="0"/>
        <v>6.2670299727520415</v>
      </c>
      <c r="E12" s="81">
        <f>+E13+E14+E15+E16+E17</f>
        <v>230</v>
      </c>
      <c r="I12" s="72"/>
    </row>
    <row r="13" spans="1:9" x14ac:dyDescent="0.2">
      <c r="A13" s="6" t="s">
        <v>68</v>
      </c>
      <c r="B13" s="77">
        <v>1350</v>
      </c>
      <c r="C13" s="76">
        <v>1400</v>
      </c>
      <c r="D13" s="76">
        <f t="shared" si="0"/>
        <v>3.7037037037037095</v>
      </c>
      <c r="E13" s="77">
        <f>+C13-B13</f>
        <v>50</v>
      </c>
    </row>
    <row r="14" spans="1:9" x14ac:dyDescent="0.2">
      <c r="A14" s="6" t="s">
        <v>69</v>
      </c>
      <c r="B14" s="77">
        <v>1600</v>
      </c>
      <c r="C14" s="76">
        <v>1800</v>
      </c>
      <c r="D14" s="76">
        <f t="shared" si="0"/>
        <v>12.5</v>
      </c>
      <c r="E14" s="77">
        <f t="shared" ref="E14:E18" si="1">+C14-B14</f>
        <v>200</v>
      </c>
    </row>
    <row r="15" spans="1:9" x14ac:dyDescent="0.2">
      <c r="A15" s="6" t="s">
        <v>70</v>
      </c>
      <c r="B15" s="77">
        <v>20</v>
      </c>
      <c r="C15" s="76">
        <v>20</v>
      </c>
      <c r="D15" s="76">
        <f t="shared" si="0"/>
        <v>0</v>
      </c>
      <c r="E15" s="77">
        <f t="shared" si="1"/>
        <v>0</v>
      </c>
      <c r="I15" s="2"/>
    </row>
    <row r="16" spans="1:9" x14ac:dyDescent="0.2">
      <c r="A16" s="6" t="s">
        <v>71</v>
      </c>
      <c r="B16" s="77">
        <v>650</v>
      </c>
      <c r="C16" s="76">
        <v>650</v>
      </c>
      <c r="D16" s="76">
        <f t="shared" si="0"/>
        <v>0</v>
      </c>
      <c r="E16" s="77">
        <f t="shared" si="1"/>
        <v>0</v>
      </c>
    </row>
    <row r="17" spans="1:8" x14ac:dyDescent="0.2">
      <c r="A17" s="6" t="s">
        <v>72</v>
      </c>
      <c r="B17" s="77">
        <v>50</v>
      </c>
      <c r="C17" s="76">
        <v>30</v>
      </c>
      <c r="D17" s="76">
        <f>+C17*100/B17-100</f>
        <v>-40</v>
      </c>
      <c r="E17" s="77">
        <f t="shared" si="1"/>
        <v>-20</v>
      </c>
    </row>
    <row r="18" spans="1:8" x14ac:dyDescent="0.2">
      <c r="A18" s="6" t="s">
        <v>73</v>
      </c>
      <c r="B18" s="77">
        <f>50+50+68</f>
        <v>168</v>
      </c>
      <c r="C18" s="76">
        <f>50+62+50+20</f>
        <v>182</v>
      </c>
      <c r="D18" s="76">
        <f t="shared" si="0"/>
        <v>8.3333333333333286</v>
      </c>
      <c r="E18" s="77">
        <f t="shared" si="1"/>
        <v>14</v>
      </c>
    </row>
    <row r="19" spans="1:8" x14ac:dyDescent="0.2">
      <c r="A19" s="7" t="s">
        <v>74</v>
      </c>
      <c r="B19" s="70">
        <v>257</v>
      </c>
      <c r="C19" s="71">
        <f>164+150</f>
        <v>314</v>
      </c>
      <c r="D19" s="71">
        <f t="shared" si="0"/>
        <v>22.178988326848255</v>
      </c>
      <c r="E19" s="70">
        <f>+C19-B19</f>
        <v>57</v>
      </c>
    </row>
    <row r="20" spans="1:8" ht="26.25" customHeight="1" x14ac:dyDescent="0.2">
      <c r="A20" s="82" t="s">
        <v>75</v>
      </c>
      <c r="B20" s="83">
        <v>6363.4</v>
      </c>
      <c r="C20" s="71">
        <v>6816.4</v>
      </c>
      <c r="D20" s="71">
        <f t="shared" si="0"/>
        <v>7.1188358424741551</v>
      </c>
      <c r="E20" s="70">
        <f>+C20-B20</f>
        <v>453</v>
      </c>
    </row>
    <row r="21" spans="1:8" s="5" customFormat="1" x14ac:dyDescent="0.2">
      <c r="A21" s="7" t="s">
        <v>76</v>
      </c>
      <c r="B21" s="70">
        <f>+B23+B22+B24</f>
        <v>33534.799999999996</v>
      </c>
      <c r="C21" s="70">
        <f>+C23+C22+C24</f>
        <v>37566.999999999993</v>
      </c>
      <c r="D21" s="71">
        <f t="shared" si="0"/>
        <v>12.023927382897753</v>
      </c>
      <c r="E21" s="70">
        <f>+E23+E22+E24</f>
        <v>4032.1999999999994</v>
      </c>
      <c r="G21" s="8"/>
      <c r="H21" s="8"/>
    </row>
    <row r="22" spans="1:8" x14ac:dyDescent="0.2">
      <c r="A22" s="6" t="s">
        <v>77</v>
      </c>
      <c r="B22" s="77">
        <v>7732.4</v>
      </c>
      <c r="C22" s="76">
        <v>8000.7</v>
      </c>
      <c r="D22" s="76">
        <f t="shared" si="0"/>
        <v>3.4698153225389348</v>
      </c>
      <c r="E22" s="77">
        <f>+C22-B22</f>
        <v>268.30000000000018</v>
      </c>
    </row>
    <row r="23" spans="1:8" x14ac:dyDescent="0.2">
      <c r="A23" s="6" t="s">
        <v>78</v>
      </c>
      <c r="B23" s="77">
        <v>25016.3</v>
      </c>
      <c r="C23" s="76">
        <v>28783.1</v>
      </c>
      <c r="D23" s="76">
        <f t="shared" si="0"/>
        <v>15.057382586553572</v>
      </c>
      <c r="E23" s="77">
        <f t="shared" ref="E23:E25" si="2">+C23-B23</f>
        <v>3766.7999999999993</v>
      </c>
    </row>
    <row r="24" spans="1:8" x14ac:dyDescent="0.2">
      <c r="A24" s="6" t="s">
        <v>79</v>
      </c>
      <c r="B24" s="77">
        <v>786.1</v>
      </c>
      <c r="C24" s="76">
        <v>783.2</v>
      </c>
      <c r="D24" s="76">
        <f t="shared" si="0"/>
        <v>-0.36890980791248751</v>
      </c>
      <c r="E24" s="77">
        <f t="shared" si="2"/>
        <v>-2.8999999999999773</v>
      </c>
    </row>
    <row r="25" spans="1:8" x14ac:dyDescent="0.2">
      <c r="A25" s="7" t="s">
        <v>80</v>
      </c>
      <c r="B25" s="70">
        <v>4998</v>
      </c>
      <c r="C25" s="71">
        <f>31+88.4+189.4+110.5+48.3+78.7+55.6+26.4+57.2+361.7+3200+56</f>
        <v>4303.2</v>
      </c>
      <c r="D25" s="71">
        <f t="shared" si="0"/>
        <v>-13.901560624249697</v>
      </c>
      <c r="E25" s="70">
        <f t="shared" si="2"/>
        <v>-694.80000000000018</v>
      </c>
    </row>
    <row r="26" spans="1:8" x14ac:dyDescent="0.2">
      <c r="A26" s="7" t="s">
        <v>258</v>
      </c>
      <c r="B26" s="70">
        <v>330</v>
      </c>
      <c r="C26" s="71">
        <v>400</v>
      </c>
      <c r="D26" s="71">
        <f t="shared" si="0"/>
        <v>21.212121212121218</v>
      </c>
      <c r="E26" s="70">
        <f>+C26-B26</f>
        <v>70</v>
      </c>
    </row>
    <row r="27" spans="1:8" x14ac:dyDescent="0.2">
      <c r="A27" s="7" t="s">
        <v>81</v>
      </c>
      <c r="B27" s="70">
        <f>50+60</f>
        <v>110</v>
      </c>
      <c r="C27" s="71">
        <f>65+55</f>
        <v>120</v>
      </c>
      <c r="D27" s="71">
        <f t="shared" si="0"/>
        <v>9.0909090909090935</v>
      </c>
      <c r="E27" s="70">
        <f t="shared" ref="E27:E28" si="3">+C27-B27</f>
        <v>10</v>
      </c>
    </row>
    <row r="28" spans="1:8" x14ac:dyDescent="0.2">
      <c r="A28" s="7" t="s">
        <v>82</v>
      </c>
      <c r="B28" s="70">
        <v>1954.5</v>
      </c>
      <c r="C28" s="71">
        <v>2400</v>
      </c>
      <c r="D28" s="71">
        <f t="shared" si="0"/>
        <v>22.793553338449726</v>
      </c>
      <c r="E28" s="70">
        <f t="shared" si="3"/>
        <v>445.5</v>
      </c>
    </row>
    <row r="29" spans="1:8" s="5" customFormat="1" x14ac:dyDescent="0.2">
      <c r="A29" s="7" t="s">
        <v>83</v>
      </c>
      <c r="B29" s="70">
        <f>+B31+B30+B32</f>
        <v>2947.6000000000004</v>
      </c>
      <c r="C29" s="70">
        <f>+C31+C30+C32</f>
        <v>3293.6</v>
      </c>
      <c r="D29" s="71">
        <f t="shared" si="0"/>
        <v>11.738363414303151</v>
      </c>
      <c r="E29" s="70">
        <f>+E31+E30+E32</f>
        <v>345.99999999999972</v>
      </c>
      <c r="G29" s="8"/>
    </row>
    <row r="30" spans="1:8" x14ac:dyDescent="0.2">
      <c r="A30" s="6" t="s">
        <v>84</v>
      </c>
      <c r="B30" s="77">
        <v>425.6</v>
      </c>
      <c r="C30" s="76">
        <v>412</v>
      </c>
      <c r="D30" s="76">
        <f t="shared" si="0"/>
        <v>-3.1954887218045229</v>
      </c>
      <c r="E30" s="77">
        <f>+C30-B30</f>
        <v>-13.600000000000023</v>
      </c>
    </row>
    <row r="31" spans="1:8" x14ac:dyDescent="0.2">
      <c r="A31" s="6" t="s">
        <v>85</v>
      </c>
      <c r="B31" s="77">
        <v>233.7</v>
      </c>
      <c r="C31" s="76">
        <v>321.5</v>
      </c>
      <c r="D31" s="76">
        <f t="shared" si="0"/>
        <v>37.569533590072751</v>
      </c>
      <c r="E31" s="77">
        <f t="shared" ref="E31:E33" si="4">+C31-B31</f>
        <v>87.800000000000011</v>
      </c>
    </row>
    <row r="32" spans="1:8" ht="25.5" x14ac:dyDescent="0.2">
      <c r="A32" s="18" t="s">
        <v>86</v>
      </c>
      <c r="B32" s="84">
        <v>2288.3000000000002</v>
      </c>
      <c r="C32" s="76">
        <v>2560.1</v>
      </c>
      <c r="D32" s="76">
        <f t="shared" si="0"/>
        <v>11.877813223790582</v>
      </c>
      <c r="E32" s="77">
        <f t="shared" si="4"/>
        <v>271.79999999999973</v>
      </c>
    </row>
    <row r="33" spans="1:7" x14ac:dyDescent="0.2">
      <c r="A33" s="85" t="s">
        <v>317</v>
      </c>
      <c r="B33" s="83">
        <v>110</v>
      </c>
      <c r="C33" s="71">
        <v>55</v>
      </c>
      <c r="D33" s="71">
        <f t="shared" si="0"/>
        <v>-50</v>
      </c>
      <c r="E33" s="70">
        <f t="shared" si="4"/>
        <v>-55</v>
      </c>
    </row>
    <row r="34" spans="1:7" s="5" customFormat="1" x14ac:dyDescent="0.2">
      <c r="A34" s="9" t="s">
        <v>87</v>
      </c>
      <c r="B34" s="70">
        <f>+B8+B19+B20+B21+B25+B26+B27+B28+B29+B33</f>
        <v>106548.3</v>
      </c>
      <c r="C34" s="70">
        <f>+C8+C19+C20+C21+C25+C26+C27+C28+C29+C33</f>
        <v>117529.2</v>
      </c>
      <c r="D34" s="71">
        <f t="shared" si="0"/>
        <v>10.30603022291298</v>
      </c>
      <c r="E34" s="70">
        <f>+E8+E19+E20+E21+E25+E26+E27+E28+E29+E33</f>
        <v>10980.899999999998</v>
      </c>
      <c r="F34" s="10"/>
      <c r="G34" s="8"/>
    </row>
    <row r="35" spans="1:7" s="5" customFormat="1" x14ac:dyDescent="0.2">
      <c r="A35" s="9" t="s">
        <v>318</v>
      </c>
      <c r="B35" s="70"/>
      <c r="C35" s="70"/>
      <c r="D35" s="71"/>
      <c r="E35" s="70"/>
      <c r="F35" s="10"/>
      <c r="G35" s="8"/>
    </row>
    <row r="36" spans="1:7" ht="15" customHeight="1" x14ac:dyDescent="0.2">
      <c r="A36" s="18" t="s">
        <v>319</v>
      </c>
      <c r="B36" s="76">
        <f>2028.8+1000</f>
        <v>3028.8</v>
      </c>
      <c r="C36" s="76">
        <f>2233+1000+992.2+150</f>
        <v>4375.2</v>
      </c>
      <c r="D36" s="76">
        <f>+C36*100/B36-100</f>
        <v>44.453248811410447</v>
      </c>
      <c r="E36" s="77">
        <f>+C36-B36</f>
        <v>1346.3999999999996</v>
      </c>
    </row>
    <row r="37" spans="1:7" x14ac:dyDescent="0.2">
      <c r="A37" s="86" t="s">
        <v>320</v>
      </c>
      <c r="B37" s="77">
        <v>8858.5</v>
      </c>
      <c r="C37" s="76">
        <v>7448</v>
      </c>
      <c r="D37" s="76">
        <f t="shared" si="0"/>
        <v>-15.922560252864486</v>
      </c>
      <c r="E37" s="77">
        <f>+C37-B37</f>
        <v>-1410.5</v>
      </c>
    </row>
    <row r="38" spans="1:7" x14ac:dyDescent="0.2">
      <c r="A38" s="9" t="s">
        <v>321</v>
      </c>
      <c r="B38" s="70">
        <f>+B34+B37+B36</f>
        <v>118435.6</v>
      </c>
      <c r="C38" s="70">
        <f>+C34+C37+C36</f>
        <v>129352.4</v>
      </c>
      <c r="D38" s="71">
        <f>+C38*100/B38-100</f>
        <v>9.2174987925927638</v>
      </c>
      <c r="E38" s="70">
        <f>+E34+E37+E36</f>
        <v>10916.799999999997</v>
      </c>
    </row>
    <row r="39" spans="1:7" x14ac:dyDescent="0.2">
      <c r="A39" s="11"/>
      <c r="B39" s="87"/>
      <c r="C39" s="87"/>
      <c r="D39" s="23"/>
      <c r="E39" s="8"/>
    </row>
    <row r="40" spans="1:7" x14ac:dyDescent="0.2">
      <c r="A40" s="5"/>
      <c r="B40" s="10"/>
      <c r="C40" s="10"/>
      <c r="E40" s="72"/>
    </row>
    <row r="41" spans="1:7" x14ac:dyDescent="0.2">
      <c r="A41" s="5"/>
      <c r="B41" s="10"/>
      <c r="C41" s="10"/>
      <c r="E41" s="72"/>
    </row>
    <row r="42" spans="1:7" x14ac:dyDescent="0.2">
      <c r="A42" s="5"/>
      <c r="B42" s="88"/>
      <c r="C42" s="88"/>
      <c r="E42" s="72"/>
    </row>
    <row r="43" spans="1:7" x14ac:dyDescent="0.2">
      <c r="A43" s="5"/>
      <c r="B43" s="68"/>
      <c r="C43" s="68"/>
      <c r="E43" s="72"/>
    </row>
    <row r="44" spans="1:7" x14ac:dyDescent="0.2">
      <c r="A44" s="5"/>
      <c r="B44" s="10"/>
      <c r="C44" s="10"/>
      <c r="E44" s="72"/>
    </row>
    <row r="45" spans="1:7" x14ac:dyDescent="0.2">
      <c r="A45" s="5"/>
      <c r="B45" s="10"/>
      <c r="C45" s="10"/>
      <c r="E45" s="72"/>
    </row>
    <row r="46" spans="1:7" x14ac:dyDescent="0.2">
      <c r="A46" s="5"/>
      <c r="B46" s="10"/>
      <c r="C46" s="10"/>
      <c r="E46" s="72"/>
    </row>
    <row r="47" spans="1:7" x14ac:dyDescent="0.2">
      <c r="A47" s="5"/>
      <c r="B47" s="72"/>
      <c r="C47" s="72"/>
      <c r="D47" s="72"/>
    </row>
    <row r="48" spans="1:7" x14ac:dyDescent="0.2">
      <c r="A48" s="11"/>
      <c r="B48" s="10"/>
      <c r="C48" s="10"/>
      <c r="D48" s="72"/>
    </row>
    <row r="49" spans="1:5" x14ac:dyDescent="0.2">
      <c r="A49" s="5"/>
      <c r="B49" s="2"/>
      <c r="C49" s="2"/>
      <c r="E49" s="72"/>
    </row>
    <row r="50" spans="1:5" x14ac:dyDescent="0.2">
      <c r="E50" s="72"/>
    </row>
    <row r="51" spans="1:5" x14ac:dyDescent="0.2">
      <c r="E51" s="72"/>
    </row>
    <row r="52" spans="1:5" x14ac:dyDescent="0.2">
      <c r="A52" s="11"/>
      <c r="B52" s="10"/>
      <c r="C52" s="10"/>
      <c r="E52" s="72"/>
    </row>
    <row r="53" spans="1:5" x14ac:dyDescent="0.2">
      <c r="B53" s="10"/>
      <c r="C53" s="10"/>
      <c r="E53" s="72"/>
    </row>
    <row r="54" spans="1:5" x14ac:dyDescent="0.2">
      <c r="B54" s="72"/>
      <c r="C54" s="72"/>
    </row>
    <row r="55" spans="1:5" x14ac:dyDescent="0.2">
      <c r="B55" s="72"/>
      <c r="C55" s="72"/>
    </row>
    <row r="56" spans="1:5" x14ac:dyDescent="0.2">
      <c r="B56" s="72"/>
      <c r="C56" s="72"/>
    </row>
    <row r="57" spans="1:5" x14ac:dyDescent="0.2">
      <c r="A57" s="11"/>
      <c r="B57" s="10"/>
      <c r="C57" s="10"/>
    </row>
    <row r="59" spans="1:5" x14ac:dyDescent="0.2">
      <c r="B59" s="72"/>
      <c r="C59" s="72"/>
    </row>
  </sheetData>
  <mergeCells count="7">
    <mergeCell ref="C1:E1"/>
    <mergeCell ref="A3:E3"/>
    <mergeCell ref="A5:A7"/>
    <mergeCell ref="B6:B7"/>
    <mergeCell ref="C6:C7"/>
    <mergeCell ref="D5:E6"/>
    <mergeCell ref="B5:C5"/>
  </mergeCells>
  <pageMargins left="0.70866141732283472" right="0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14805-24C4-445F-8033-9E4998D8023B}">
  <dimension ref="A1:AB694"/>
  <sheetViews>
    <sheetView workbookViewId="0">
      <selection activeCell="D6" sqref="D6"/>
    </sheetView>
  </sheetViews>
  <sheetFormatPr defaultColWidth="9" defaultRowHeight="12.75" x14ac:dyDescent="0.2"/>
  <cols>
    <col min="1" max="1" width="3.7109375" style="1" customWidth="1"/>
    <col min="2" max="2" width="27.42578125" style="1" customWidth="1"/>
    <col min="3" max="4" width="8.28515625" style="1" customWidth="1"/>
    <col min="5" max="5" width="7.7109375" style="1" customWidth="1"/>
    <col min="6" max="6" width="9" style="1"/>
    <col min="7" max="7" width="6" style="1" customWidth="1"/>
    <col min="8" max="8" width="10.28515625" style="1" customWidth="1"/>
    <col min="9" max="9" width="7.7109375" style="1" customWidth="1"/>
    <col min="10" max="10" width="8.140625" style="1" customWidth="1"/>
    <col min="11" max="11" width="7.7109375" style="1" customWidth="1"/>
    <col min="12" max="12" width="6.28515625" style="1" customWidth="1"/>
    <col min="13" max="13" width="8.7109375" style="1" customWidth="1"/>
    <col min="14" max="14" width="11.5703125" style="1" customWidth="1"/>
    <col min="15" max="15" width="6.28515625" style="1" customWidth="1"/>
    <col min="16" max="16" width="7" style="1" customWidth="1"/>
    <col min="17" max="17" width="6" style="1" customWidth="1"/>
    <col min="18" max="18" width="7.28515625" style="1" customWidth="1"/>
    <col min="19" max="19" width="9.85546875" style="1" customWidth="1"/>
    <col min="20" max="20" width="9.28515625" style="1" customWidth="1"/>
    <col min="21" max="21" width="7.5703125" style="1" customWidth="1"/>
    <col min="22" max="22" width="6.28515625" style="1" customWidth="1"/>
    <col min="23" max="23" width="8.5703125" style="1" customWidth="1"/>
    <col min="24" max="24" width="9" style="167"/>
    <col min="25" max="25" width="6.140625" style="1" bestFit="1" customWidth="1"/>
    <col min="26" max="256" width="9" style="1"/>
    <col min="257" max="257" width="3.7109375" style="1" customWidth="1"/>
    <col min="258" max="258" width="27.42578125" style="1" customWidth="1"/>
    <col min="259" max="260" width="8.28515625" style="1" customWidth="1"/>
    <col min="261" max="261" width="7.7109375" style="1" customWidth="1"/>
    <col min="262" max="262" width="9" style="1"/>
    <col min="263" max="263" width="6" style="1" customWidth="1"/>
    <col min="264" max="264" width="10.28515625" style="1" customWidth="1"/>
    <col min="265" max="265" width="7.7109375" style="1" customWidth="1"/>
    <col min="266" max="266" width="8.140625" style="1" customWidth="1"/>
    <col min="267" max="267" width="7.7109375" style="1" customWidth="1"/>
    <col min="268" max="268" width="6.28515625" style="1" customWidth="1"/>
    <col min="269" max="269" width="8.7109375" style="1" customWidth="1"/>
    <col min="270" max="270" width="10.7109375" style="1" customWidth="1"/>
    <col min="271" max="271" width="6.28515625" style="1" customWidth="1"/>
    <col min="272" max="272" width="7" style="1" customWidth="1"/>
    <col min="273" max="273" width="6" style="1" customWidth="1"/>
    <col min="274" max="274" width="7.28515625" style="1" customWidth="1"/>
    <col min="275" max="275" width="9.85546875" style="1" customWidth="1"/>
    <col min="276" max="276" width="9.28515625" style="1" customWidth="1"/>
    <col min="277" max="277" width="7.5703125" style="1" customWidth="1"/>
    <col min="278" max="278" width="6.28515625" style="1" customWidth="1"/>
    <col min="279" max="279" width="7.7109375" style="1" customWidth="1"/>
    <col min="280" max="512" width="9" style="1"/>
    <col min="513" max="513" width="3.7109375" style="1" customWidth="1"/>
    <col min="514" max="514" width="27.42578125" style="1" customWidth="1"/>
    <col min="515" max="516" width="8.28515625" style="1" customWidth="1"/>
    <col min="517" max="517" width="7.7109375" style="1" customWidth="1"/>
    <col min="518" max="518" width="9" style="1"/>
    <col min="519" max="519" width="6" style="1" customWidth="1"/>
    <col min="520" max="520" width="10.28515625" style="1" customWidth="1"/>
    <col min="521" max="521" width="7.7109375" style="1" customWidth="1"/>
    <col min="522" max="522" width="8.140625" style="1" customWidth="1"/>
    <col min="523" max="523" width="7.7109375" style="1" customWidth="1"/>
    <col min="524" max="524" width="6.28515625" style="1" customWidth="1"/>
    <col min="525" max="525" width="8.7109375" style="1" customWidth="1"/>
    <col min="526" max="526" width="10.7109375" style="1" customWidth="1"/>
    <col min="527" max="527" width="6.28515625" style="1" customWidth="1"/>
    <col min="528" max="528" width="7" style="1" customWidth="1"/>
    <col min="529" max="529" width="6" style="1" customWidth="1"/>
    <col min="530" max="530" width="7.28515625" style="1" customWidth="1"/>
    <col min="531" max="531" width="9.85546875" style="1" customWidth="1"/>
    <col min="532" max="532" width="9.28515625" style="1" customWidth="1"/>
    <col min="533" max="533" width="7.5703125" style="1" customWidth="1"/>
    <col min="534" max="534" width="6.28515625" style="1" customWidth="1"/>
    <col min="535" max="535" width="7.7109375" style="1" customWidth="1"/>
    <col min="536" max="768" width="9" style="1"/>
    <col min="769" max="769" width="3.7109375" style="1" customWidth="1"/>
    <col min="770" max="770" width="27.42578125" style="1" customWidth="1"/>
    <col min="771" max="772" width="8.28515625" style="1" customWidth="1"/>
    <col min="773" max="773" width="7.7109375" style="1" customWidth="1"/>
    <col min="774" max="774" width="9" style="1"/>
    <col min="775" max="775" width="6" style="1" customWidth="1"/>
    <col min="776" max="776" width="10.28515625" style="1" customWidth="1"/>
    <col min="777" max="777" width="7.7109375" style="1" customWidth="1"/>
    <col min="778" max="778" width="8.140625" style="1" customWidth="1"/>
    <col min="779" max="779" width="7.7109375" style="1" customWidth="1"/>
    <col min="780" max="780" width="6.28515625" style="1" customWidth="1"/>
    <col min="781" max="781" width="8.7109375" style="1" customWidth="1"/>
    <col min="782" max="782" width="10.7109375" style="1" customWidth="1"/>
    <col min="783" max="783" width="6.28515625" style="1" customWidth="1"/>
    <col min="784" max="784" width="7" style="1" customWidth="1"/>
    <col min="785" max="785" width="6" style="1" customWidth="1"/>
    <col min="786" max="786" width="7.28515625" style="1" customWidth="1"/>
    <col min="787" max="787" width="9.85546875" style="1" customWidth="1"/>
    <col min="788" max="788" width="9.28515625" style="1" customWidth="1"/>
    <col min="789" max="789" width="7.5703125" style="1" customWidth="1"/>
    <col min="790" max="790" width="6.28515625" style="1" customWidth="1"/>
    <col min="791" max="791" width="7.7109375" style="1" customWidth="1"/>
    <col min="792" max="1024" width="9" style="1"/>
    <col min="1025" max="1025" width="3.7109375" style="1" customWidth="1"/>
    <col min="1026" max="1026" width="27.42578125" style="1" customWidth="1"/>
    <col min="1027" max="1028" width="8.28515625" style="1" customWidth="1"/>
    <col min="1029" max="1029" width="7.7109375" style="1" customWidth="1"/>
    <col min="1030" max="1030" width="9" style="1"/>
    <col min="1031" max="1031" width="6" style="1" customWidth="1"/>
    <col min="1032" max="1032" width="10.28515625" style="1" customWidth="1"/>
    <col min="1033" max="1033" width="7.7109375" style="1" customWidth="1"/>
    <col min="1034" max="1034" width="8.140625" style="1" customWidth="1"/>
    <col min="1035" max="1035" width="7.7109375" style="1" customWidth="1"/>
    <col min="1036" max="1036" width="6.28515625" style="1" customWidth="1"/>
    <col min="1037" max="1037" width="8.7109375" style="1" customWidth="1"/>
    <col min="1038" max="1038" width="10.7109375" style="1" customWidth="1"/>
    <col min="1039" max="1039" width="6.28515625" style="1" customWidth="1"/>
    <col min="1040" max="1040" width="7" style="1" customWidth="1"/>
    <col min="1041" max="1041" width="6" style="1" customWidth="1"/>
    <col min="1042" max="1042" width="7.28515625" style="1" customWidth="1"/>
    <col min="1043" max="1043" width="9.85546875" style="1" customWidth="1"/>
    <col min="1044" max="1044" width="9.28515625" style="1" customWidth="1"/>
    <col min="1045" max="1045" width="7.5703125" style="1" customWidth="1"/>
    <col min="1046" max="1046" width="6.28515625" style="1" customWidth="1"/>
    <col min="1047" max="1047" width="7.7109375" style="1" customWidth="1"/>
    <col min="1048" max="1280" width="9" style="1"/>
    <col min="1281" max="1281" width="3.7109375" style="1" customWidth="1"/>
    <col min="1282" max="1282" width="27.42578125" style="1" customWidth="1"/>
    <col min="1283" max="1284" width="8.28515625" style="1" customWidth="1"/>
    <col min="1285" max="1285" width="7.7109375" style="1" customWidth="1"/>
    <col min="1286" max="1286" width="9" style="1"/>
    <col min="1287" max="1287" width="6" style="1" customWidth="1"/>
    <col min="1288" max="1288" width="10.28515625" style="1" customWidth="1"/>
    <col min="1289" max="1289" width="7.7109375" style="1" customWidth="1"/>
    <col min="1290" max="1290" width="8.140625" style="1" customWidth="1"/>
    <col min="1291" max="1291" width="7.7109375" style="1" customWidth="1"/>
    <col min="1292" max="1292" width="6.28515625" style="1" customWidth="1"/>
    <col min="1293" max="1293" width="8.7109375" style="1" customWidth="1"/>
    <col min="1294" max="1294" width="10.7109375" style="1" customWidth="1"/>
    <col min="1295" max="1295" width="6.28515625" style="1" customWidth="1"/>
    <col min="1296" max="1296" width="7" style="1" customWidth="1"/>
    <col min="1297" max="1297" width="6" style="1" customWidth="1"/>
    <col min="1298" max="1298" width="7.28515625" style="1" customWidth="1"/>
    <col min="1299" max="1299" width="9.85546875" style="1" customWidth="1"/>
    <col min="1300" max="1300" width="9.28515625" style="1" customWidth="1"/>
    <col min="1301" max="1301" width="7.5703125" style="1" customWidth="1"/>
    <col min="1302" max="1302" width="6.28515625" style="1" customWidth="1"/>
    <col min="1303" max="1303" width="7.7109375" style="1" customWidth="1"/>
    <col min="1304" max="1536" width="9" style="1"/>
    <col min="1537" max="1537" width="3.7109375" style="1" customWidth="1"/>
    <col min="1538" max="1538" width="27.42578125" style="1" customWidth="1"/>
    <col min="1539" max="1540" width="8.28515625" style="1" customWidth="1"/>
    <col min="1541" max="1541" width="7.7109375" style="1" customWidth="1"/>
    <col min="1542" max="1542" width="9" style="1"/>
    <col min="1543" max="1543" width="6" style="1" customWidth="1"/>
    <col min="1544" max="1544" width="10.28515625" style="1" customWidth="1"/>
    <col min="1545" max="1545" width="7.7109375" style="1" customWidth="1"/>
    <col min="1546" max="1546" width="8.140625" style="1" customWidth="1"/>
    <col min="1547" max="1547" width="7.7109375" style="1" customWidth="1"/>
    <col min="1548" max="1548" width="6.28515625" style="1" customWidth="1"/>
    <col min="1549" max="1549" width="8.7109375" style="1" customWidth="1"/>
    <col min="1550" max="1550" width="10.7109375" style="1" customWidth="1"/>
    <col min="1551" max="1551" width="6.28515625" style="1" customWidth="1"/>
    <col min="1552" max="1552" width="7" style="1" customWidth="1"/>
    <col min="1553" max="1553" width="6" style="1" customWidth="1"/>
    <col min="1554" max="1554" width="7.28515625" style="1" customWidth="1"/>
    <col min="1555" max="1555" width="9.85546875" style="1" customWidth="1"/>
    <col min="1556" max="1556" width="9.28515625" style="1" customWidth="1"/>
    <col min="1557" max="1557" width="7.5703125" style="1" customWidth="1"/>
    <col min="1558" max="1558" width="6.28515625" style="1" customWidth="1"/>
    <col min="1559" max="1559" width="7.7109375" style="1" customWidth="1"/>
    <col min="1560" max="1792" width="9" style="1"/>
    <col min="1793" max="1793" width="3.7109375" style="1" customWidth="1"/>
    <col min="1794" max="1794" width="27.42578125" style="1" customWidth="1"/>
    <col min="1795" max="1796" width="8.28515625" style="1" customWidth="1"/>
    <col min="1797" max="1797" width="7.7109375" style="1" customWidth="1"/>
    <col min="1798" max="1798" width="9" style="1"/>
    <col min="1799" max="1799" width="6" style="1" customWidth="1"/>
    <col min="1800" max="1800" width="10.28515625" style="1" customWidth="1"/>
    <col min="1801" max="1801" width="7.7109375" style="1" customWidth="1"/>
    <col min="1802" max="1802" width="8.140625" style="1" customWidth="1"/>
    <col min="1803" max="1803" width="7.7109375" style="1" customWidth="1"/>
    <col min="1804" max="1804" width="6.28515625" style="1" customWidth="1"/>
    <col min="1805" max="1805" width="8.7109375" style="1" customWidth="1"/>
    <col min="1806" max="1806" width="10.7109375" style="1" customWidth="1"/>
    <col min="1807" max="1807" width="6.28515625" style="1" customWidth="1"/>
    <col min="1808" max="1808" width="7" style="1" customWidth="1"/>
    <col min="1809" max="1809" width="6" style="1" customWidth="1"/>
    <col min="1810" max="1810" width="7.28515625" style="1" customWidth="1"/>
    <col min="1811" max="1811" width="9.85546875" style="1" customWidth="1"/>
    <col min="1812" max="1812" width="9.28515625" style="1" customWidth="1"/>
    <col min="1813" max="1813" width="7.5703125" style="1" customWidth="1"/>
    <col min="1814" max="1814" width="6.28515625" style="1" customWidth="1"/>
    <col min="1815" max="1815" width="7.7109375" style="1" customWidth="1"/>
    <col min="1816" max="2048" width="9" style="1"/>
    <col min="2049" max="2049" width="3.7109375" style="1" customWidth="1"/>
    <col min="2050" max="2050" width="27.42578125" style="1" customWidth="1"/>
    <col min="2051" max="2052" width="8.28515625" style="1" customWidth="1"/>
    <col min="2053" max="2053" width="7.7109375" style="1" customWidth="1"/>
    <col min="2054" max="2054" width="9" style="1"/>
    <col min="2055" max="2055" width="6" style="1" customWidth="1"/>
    <col min="2056" max="2056" width="10.28515625" style="1" customWidth="1"/>
    <col min="2057" max="2057" width="7.7109375" style="1" customWidth="1"/>
    <col min="2058" max="2058" width="8.140625" style="1" customWidth="1"/>
    <col min="2059" max="2059" width="7.7109375" style="1" customWidth="1"/>
    <col min="2060" max="2060" width="6.28515625" style="1" customWidth="1"/>
    <col min="2061" max="2061" width="8.7109375" style="1" customWidth="1"/>
    <col min="2062" max="2062" width="10.7109375" style="1" customWidth="1"/>
    <col min="2063" max="2063" width="6.28515625" style="1" customWidth="1"/>
    <col min="2064" max="2064" width="7" style="1" customWidth="1"/>
    <col min="2065" max="2065" width="6" style="1" customWidth="1"/>
    <col min="2066" max="2066" width="7.28515625" style="1" customWidth="1"/>
    <col min="2067" max="2067" width="9.85546875" style="1" customWidth="1"/>
    <col min="2068" max="2068" width="9.28515625" style="1" customWidth="1"/>
    <col min="2069" max="2069" width="7.5703125" style="1" customWidth="1"/>
    <col min="2070" max="2070" width="6.28515625" style="1" customWidth="1"/>
    <col min="2071" max="2071" width="7.7109375" style="1" customWidth="1"/>
    <col min="2072" max="2304" width="9" style="1"/>
    <col min="2305" max="2305" width="3.7109375" style="1" customWidth="1"/>
    <col min="2306" max="2306" width="27.42578125" style="1" customWidth="1"/>
    <col min="2307" max="2308" width="8.28515625" style="1" customWidth="1"/>
    <col min="2309" max="2309" width="7.7109375" style="1" customWidth="1"/>
    <col min="2310" max="2310" width="9" style="1"/>
    <col min="2311" max="2311" width="6" style="1" customWidth="1"/>
    <col min="2312" max="2312" width="10.28515625" style="1" customWidth="1"/>
    <col min="2313" max="2313" width="7.7109375" style="1" customWidth="1"/>
    <col min="2314" max="2314" width="8.140625" style="1" customWidth="1"/>
    <col min="2315" max="2315" width="7.7109375" style="1" customWidth="1"/>
    <col min="2316" max="2316" width="6.28515625" style="1" customWidth="1"/>
    <col min="2317" max="2317" width="8.7109375" style="1" customWidth="1"/>
    <col min="2318" max="2318" width="10.7109375" style="1" customWidth="1"/>
    <col min="2319" max="2319" width="6.28515625" style="1" customWidth="1"/>
    <col min="2320" max="2320" width="7" style="1" customWidth="1"/>
    <col min="2321" max="2321" width="6" style="1" customWidth="1"/>
    <col min="2322" max="2322" width="7.28515625" style="1" customWidth="1"/>
    <col min="2323" max="2323" width="9.85546875" style="1" customWidth="1"/>
    <col min="2324" max="2324" width="9.28515625" style="1" customWidth="1"/>
    <col min="2325" max="2325" width="7.5703125" style="1" customWidth="1"/>
    <col min="2326" max="2326" width="6.28515625" style="1" customWidth="1"/>
    <col min="2327" max="2327" width="7.7109375" style="1" customWidth="1"/>
    <col min="2328" max="2560" width="9" style="1"/>
    <col min="2561" max="2561" width="3.7109375" style="1" customWidth="1"/>
    <col min="2562" max="2562" width="27.42578125" style="1" customWidth="1"/>
    <col min="2563" max="2564" width="8.28515625" style="1" customWidth="1"/>
    <col min="2565" max="2565" width="7.7109375" style="1" customWidth="1"/>
    <col min="2566" max="2566" width="9" style="1"/>
    <col min="2567" max="2567" width="6" style="1" customWidth="1"/>
    <col min="2568" max="2568" width="10.28515625" style="1" customWidth="1"/>
    <col min="2569" max="2569" width="7.7109375" style="1" customWidth="1"/>
    <col min="2570" max="2570" width="8.140625" style="1" customWidth="1"/>
    <col min="2571" max="2571" width="7.7109375" style="1" customWidth="1"/>
    <col min="2572" max="2572" width="6.28515625" style="1" customWidth="1"/>
    <col min="2573" max="2573" width="8.7109375" style="1" customWidth="1"/>
    <col min="2574" max="2574" width="10.7109375" style="1" customWidth="1"/>
    <col min="2575" max="2575" width="6.28515625" style="1" customWidth="1"/>
    <col min="2576" max="2576" width="7" style="1" customWidth="1"/>
    <col min="2577" max="2577" width="6" style="1" customWidth="1"/>
    <col min="2578" max="2578" width="7.28515625" style="1" customWidth="1"/>
    <col min="2579" max="2579" width="9.85546875" style="1" customWidth="1"/>
    <col min="2580" max="2580" width="9.28515625" style="1" customWidth="1"/>
    <col min="2581" max="2581" width="7.5703125" style="1" customWidth="1"/>
    <col min="2582" max="2582" width="6.28515625" style="1" customWidth="1"/>
    <col min="2583" max="2583" width="7.7109375" style="1" customWidth="1"/>
    <col min="2584" max="2816" width="9" style="1"/>
    <col min="2817" max="2817" width="3.7109375" style="1" customWidth="1"/>
    <col min="2818" max="2818" width="27.42578125" style="1" customWidth="1"/>
    <col min="2819" max="2820" width="8.28515625" style="1" customWidth="1"/>
    <col min="2821" max="2821" width="7.7109375" style="1" customWidth="1"/>
    <col min="2822" max="2822" width="9" style="1"/>
    <col min="2823" max="2823" width="6" style="1" customWidth="1"/>
    <col min="2824" max="2824" width="10.28515625" style="1" customWidth="1"/>
    <col min="2825" max="2825" width="7.7109375" style="1" customWidth="1"/>
    <col min="2826" max="2826" width="8.140625" style="1" customWidth="1"/>
    <col min="2827" max="2827" width="7.7109375" style="1" customWidth="1"/>
    <col min="2828" max="2828" width="6.28515625" style="1" customWidth="1"/>
    <col min="2829" max="2829" width="8.7109375" style="1" customWidth="1"/>
    <col min="2830" max="2830" width="10.7109375" style="1" customWidth="1"/>
    <col min="2831" max="2831" width="6.28515625" style="1" customWidth="1"/>
    <col min="2832" max="2832" width="7" style="1" customWidth="1"/>
    <col min="2833" max="2833" width="6" style="1" customWidth="1"/>
    <col min="2834" max="2834" width="7.28515625" style="1" customWidth="1"/>
    <col min="2835" max="2835" width="9.85546875" style="1" customWidth="1"/>
    <col min="2836" max="2836" width="9.28515625" style="1" customWidth="1"/>
    <col min="2837" max="2837" width="7.5703125" style="1" customWidth="1"/>
    <col min="2838" max="2838" width="6.28515625" style="1" customWidth="1"/>
    <col min="2839" max="2839" width="7.7109375" style="1" customWidth="1"/>
    <col min="2840" max="3072" width="9" style="1"/>
    <col min="3073" max="3073" width="3.7109375" style="1" customWidth="1"/>
    <col min="3074" max="3074" width="27.42578125" style="1" customWidth="1"/>
    <col min="3075" max="3076" width="8.28515625" style="1" customWidth="1"/>
    <col min="3077" max="3077" width="7.7109375" style="1" customWidth="1"/>
    <col min="3078" max="3078" width="9" style="1"/>
    <col min="3079" max="3079" width="6" style="1" customWidth="1"/>
    <col min="3080" max="3080" width="10.28515625" style="1" customWidth="1"/>
    <col min="3081" max="3081" width="7.7109375" style="1" customWidth="1"/>
    <col min="3082" max="3082" width="8.140625" style="1" customWidth="1"/>
    <col min="3083" max="3083" width="7.7109375" style="1" customWidth="1"/>
    <col min="3084" max="3084" width="6.28515625" style="1" customWidth="1"/>
    <col min="3085" max="3085" width="8.7109375" style="1" customWidth="1"/>
    <col min="3086" max="3086" width="10.7109375" style="1" customWidth="1"/>
    <col min="3087" max="3087" width="6.28515625" style="1" customWidth="1"/>
    <col min="3088" max="3088" width="7" style="1" customWidth="1"/>
    <col min="3089" max="3089" width="6" style="1" customWidth="1"/>
    <col min="3090" max="3090" width="7.28515625" style="1" customWidth="1"/>
    <col min="3091" max="3091" width="9.85546875" style="1" customWidth="1"/>
    <col min="3092" max="3092" width="9.28515625" style="1" customWidth="1"/>
    <col min="3093" max="3093" width="7.5703125" style="1" customWidth="1"/>
    <col min="3094" max="3094" width="6.28515625" style="1" customWidth="1"/>
    <col min="3095" max="3095" width="7.7109375" style="1" customWidth="1"/>
    <col min="3096" max="3328" width="9" style="1"/>
    <col min="3329" max="3329" width="3.7109375" style="1" customWidth="1"/>
    <col min="3330" max="3330" width="27.42578125" style="1" customWidth="1"/>
    <col min="3331" max="3332" width="8.28515625" style="1" customWidth="1"/>
    <col min="3333" max="3333" width="7.7109375" style="1" customWidth="1"/>
    <col min="3334" max="3334" width="9" style="1"/>
    <col min="3335" max="3335" width="6" style="1" customWidth="1"/>
    <col min="3336" max="3336" width="10.28515625" style="1" customWidth="1"/>
    <col min="3337" max="3337" width="7.7109375" style="1" customWidth="1"/>
    <col min="3338" max="3338" width="8.140625" style="1" customWidth="1"/>
    <col min="3339" max="3339" width="7.7109375" style="1" customWidth="1"/>
    <col min="3340" max="3340" width="6.28515625" style="1" customWidth="1"/>
    <col min="3341" max="3341" width="8.7109375" style="1" customWidth="1"/>
    <col min="3342" max="3342" width="10.7109375" style="1" customWidth="1"/>
    <col min="3343" max="3343" width="6.28515625" style="1" customWidth="1"/>
    <col min="3344" max="3344" width="7" style="1" customWidth="1"/>
    <col min="3345" max="3345" width="6" style="1" customWidth="1"/>
    <col min="3346" max="3346" width="7.28515625" style="1" customWidth="1"/>
    <col min="3347" max="3347" width="9.85546875" style="1" customWidth="1"/>
    <col min="3348" max="3348" width="9.28515625" style="1" customWidth="1"/>
    <col min="3349" max="3349" width="7.5703125" style="1" customWidth="1"/>
    <col min="3350" max="3350" width="6.28515625" style="1" customWidth="1"/>
    <col min="3351" max="3351" width="7.7109375" style="1" customWidth="1"/>
    <col min="3352" max="3584" width="9" style="1"/>
    <col min="3585" max="3585" width="3.7109375" style="1" customWidth="1"/>
    <col min="3586" max="3586" width="27.42578125" style="1" customWidth="1"/>
    <col min="3587" max="3588" width="8.28515625" style="1" customWidth="1"/>
    <col min="3589" max="3589" width="7.7109375" style="1" customWidth="1"/>
    <col min="3590" max="3590" width="9" style="1"/>
    <col min="3591" max="3591" width="6" style="1" customWidth="1"/>
    <col min="3592" max="3592" width="10.28515625" style="1" customWidth="1"/>
    <col min="3593" max="3593" width="7.7109375" style="1" customWidth="1"/>
    <col min="3594" max="3594" width="8.140625" style="1" customWidth="1"/>
    <col min="3595" max="3595" width="7.7109375" style="1" customWidth="1"/>
    <col min="3596" max="3596" width="6.28515625" style="1" customWidth="1"/>
    <col min="3597" max="3597" width="8.7109375" style="1" customWidth="1"/>
    <col min="3598" max="3598" width="10.7109375" style="1" customWidth="1"/>
    <col min="3599" max="3599" width="6.28515625" style="1" customWidth="1"/>
    <col min="3600" max="3600" width="7" style="1" customWidth="1"/>
    <col min="3601" max="3601" width="6" style="1" customWidth="1"/>
    <col min="3602" max="3602" width="7.28515625" style="1" customWidth="1"/>
    <col min="3603" max="3603" width="9.85546875" style="1" customWidth="1"/>
    <col min="3604" max="3604" width="9.28515625" style="1" customWidth="1"/>
    <col min="3605" max="3605" width="7.5703125" style="1" customWidth="1"/>
    <col min="3606" max="3606" width="6.28515625" style="1" customWidth="1"/>
    <col min="3607" max="3607" width="7.7109375" style="1" customWidth="1"/>
    <col min="3608" max="3840" width="9" style="1"/>
    <col min="3841" max="3841" width="3.7109375" style="1" customWidth="1"/>
    <col min="3842" max="3842" width="27.42578125" style="1" customWidth="1"/>
    <col min="3843" max="3844" width="8.28515625" style="1" customWidth="1"/>
    <col min="3845" max="3845" width="7.7109375" style="1" customWidth="1"/>
    <col min="3846" max="3846" width="9" style="1"/>
    <col min="3847" max="3847" width="6" style="1" customWidth="1"/>
    <col min="3848" max="3848" width="10.28515625" style="1" customWidth="1"/>
    <col min="3849" max="3849" width="7.7109375" style="1" customWidth="1"/>
    <col min="3850" max="3850" width="8.140625" style="1" customWidth="1"/>
    <col min="3851" max="3851" width="7.7109375" style="1" customWidth="1"/>
    <col min="3852" max="3852" width="6.28515625" style="1" customWidth="1"/>
    <col min="3853" max="3853" width="8.7109375" style="1" customWidth="1"/>
    <col min="3854" max="3854" width="10.7109375" style="1" customWidth="1"/>
    <col min="3855" max="3855" width="6.28515625" style="1" customWidth="1"/>
    <col min="3856" max="3856" width="7" style="1" customWidth="1"/>
    <col min="3857" max="3857" width="6" style="1" customWidth="1"/>
    <col min="3858" max="3858" width="7.28515625" style="1" customWidth="1"/>
    <col min="3859" max="3859" width="9.85546875" style="1" customWidth="1"/>
    <col min="3860" max="3860" width="9.28515625" style="1" customWidth="1"/>
    <col min="3861" max="3861" width="7.5703125" style="1" customWidth="1"/>
    <col min="3862" max="3862" width="6.28515625" style="1" customWidth="1"/>
    <col min="3863" max="3863" width="7.7109375" style="1" customWidth="1"/>
    <col min="3864" max="4096" width="9" style="1"/>
    <col min="4097" max="4097" width="3.7109375" style="1" customWidth="1"/>
    <col min="4098" max="4098" width="27.42578125" style="1" customWidth="1"/>
    <col min="4099" max="4100" width="8.28515625" style="1" customWidth="1"/>
    <col min="4101" max="4101" width="7.7109375" style="1" customWidth="1"/>
    <col min="4102" max="4102" width="9" style="1"/>
    <col min="4103" max="4103" width="6" style="1" customWidth="1"/>
    <col min="4104" max="4104" width="10.28515625" style="1" customWidth="1"/>
    <col min="4105" max="4105" width="7.7109375" style="1" customWidth="1"/>
    <col min="4106" max="4106" width="8.140625" style="1" customWidth="1"/>
    <col min="4107" max="4107" width="7.7109375" style="1" customWidth="1"/>
    <col min="4108" max="4108" width="6.28515625" style="1" customWidth="1"/>
    <col min="4109" max="4109" width="8.7109375" style="1" customWidth="1"/>
    <col min="4110" max="4110" width="10.7109375" style="1" customWidth="1"/>
    <col min="4111" max="4111" width="6.28515625" style="1" customWidth="1"/>
    <col min="4112" max="4112" width="7" style="1" customWidth="1"/>
    <col min="4113" max="4113" width="6" style="1" customWidth="1"/>
    <col min="4114" max="4114" width="7.28515625" style="1" customWidth="1"/>
    <col min="4115" max="4115" width="9.85546875" style="1" customWidth="1"/>
    <col min="4116" max="4116" width="9.28515625" style="1" customWidth="1"/>
    <col min="4117" max="4117" width="7.5703125" style="1" customWidth="1"/>
    <col min="4118" max="4118" width="6.28515625" style="1" customWidth="1"/>
    <col min="4119" max="4119" width="7.7109375" style="1" customWidth="1"/>
    <col min="4120" max="4352" width="9" style="1"/>
    <col min="4353" max="4353" width="3.7109375" style="1" customWidth="1"/>
    <col min="4354" max="4354" width="27.42578125" style="1" customWidth="1"/>
    <col min="4355" max="4356" width="8.28515625" style="1" customWidth="1"/>
    <col min="4357" max="4357" width="7.7109375" style="1" customWidth="1"/>
    <col min="4358" max="4358" width="9" style="1"/>
    <col min="4359" max="4359" width="6" style="1" customWidth="1"/>
    <col min="4360" max="4360" width="10.28515625" style="1" customWidth="1"/>
    <col min="4361" max="4361" width="7.7109375" style="1" customWidth="1"/>
    <col min="4362" max="4362" width="8.140625" style="1" customWidth="1"/>
    <col min="4363" max="4363" width="7.7109375" style="1" customWidth="1"/>
    <col min="4364" max="4364" width="6.28515625" style="1" customWidth="1"/>
    <col min="4365" max="4365" width="8.7109375" style="1" customWidth="1"/>
    <col min="4366" max="4366" width="10.7109375" style="1" customWidth="1"/>
    <col min="4367" max="4367" width="6.28515625" style="1" customWidth="1"/>
    <col min="4368" max="4368" width="7" style="1" customWidth="1"/>
    <col min="4369" max="4369" width="6" style="1" customWidth="1"/>
    <col min="4370" max="4370" width="7.28515625" style="1" customWidth="1"/>
    <col min="4371" max="4371" width="9.85546875" style="1" customWidth="1"/>
    <col min="4372" max="4372" width="9.28515625" style="1" customWidth="1"/>
    <col min="4373" max="4373" width="7.5703125" style="1" customWidth="1"/>
    <col min="4374" max="4374" width="6.28515625" style="1" customWidth="1"/>
    <col min="4375" max="4375" width="7.7109375" style="1" customWidth="1"/>
    <col min="4376" max="4608" width="9" style="1"/>
    <col min="4609" max="4609" width="3.7109375" style="1" customWidth="1"/>
    <col min="4610" max="4610" width="27.42578125" style="1" customWidth="1"/>
    <col min="4611" max="4612" width="8.28515625" style="1" customWidth="1"/>
    <col min="4613" max="4613" width="7.7109375" style="1" customWidth="1"/>
    <col min="4614" max="4614" width="9" style="1"/>
    <col min="4615" max="4615" width="6" style="1" customWidth="1"/>
    <col min="4616" max="4616" width="10.28515625" style="1" customWidth="1"/>
    <col min="4617" max="4617" width="7.7109375" style="1" customWidth="1"/>
    <col min="4618" max="4618" width="8.140625" style="1" customWidth="1"/>
    <col min="4619" max="4619" width="7.7109375" style="1" customWidth="1"/>
    <col min="4620" max="4620" width="6.28515625" style="1" customWidth="1"/>
    <col min="4621" max="4621" width="8.7109375" style="1" customWidth="1"/>
    <col min="4622" max="4622" width="10.7109375" style="1" customWidth="1"/>
    <col min="4623" max="4623" width="6.28515625" style="1" customWidth="1"/>
    <col min="4624" max="4624" width="7" style="1" customWidth="1"/>
    <col min="4625" max="4625" width="6" style="1" customWidth="1"/>
    <col min="4626" max="4626" width="7.28515625" style="1" customWidth="1"/>
    <col min="4627" max="4627" width="9.85546875" style="1" customWidth="1"/>
    <col min="4628" max="4628" width="9.28515625" style="1" customWidth="1"/>
    <col min="4629" max="4629" width="7.5703125" style="1" customWidth="1"/>
    <col min="4630" max="4630" width="6.28515625" style="1" customWidth="1"/>
    <col min="4631" max="4631" width="7.7109375" style="1" customWidth="1"/>
    <col min="4632" max="4864" width="9" style="1"/>
    <col min="4865" max="4865" width="3.7109375" style="1" customWidth="1"/>
    <col min="4866" max="4866" width="27.42578125" style="1" customWidth="1"/>
    <col min="4867" max="4868" width="8.28515625" style="1" customWidth="1"/>
    <col min="4869" max="4869" width="7.7109375" style="1" customWidth="1"/>
    <col min="4870" max="4870" width="9" style="1"/>
    <col min="4871" max="4871" width="6" style="1" customWidth="1"/>
    <col min="4872" max="4872" width="10.28515625" style="1" customWidth="1"/>
    <col min="4873" max="4873" width="7.7109375" style="1" customWidth="1"/>
    <col min="4874" max="4874" width="8.140625" style="1" customWidth="1"/>
    <col min="4875" max="4875" width="7.7109375" style="1" customWidth="1"/>
    <col min="4876" max="4876" width="6.28515625" style="1" customWidth="1"/>
    <col min="4877" max="4877" width="8.7109375" style="1" customWidth="1"/>
    <col min="4878" max="4878" width="10.7109375" style="1" customWidth="1"/>
    <col min="4879" max="4879" width="6.28515625" style="1" customWidth="1"/>
    <col min="4880" max="4880" width="7" style="1" customWidth="1"/>
    <col min="4881" max="4881" width="6" style="1" customWidth="1"/>
    <col min="4882" max="4882" width="7.28515625" style="1" customWidth="1"/>
    <col min="4883" max="4883" width="9.85546875" style="1" customWidth="1"/>
    <col min="4884" max="4884" width="9.28515625" style="1" customWidth="1"/>
    <col min="4885" max="4885" width="7.5703125" style="1" customWidth="1"/>
    <col min="4886" max="4886" width="6.28515625" style="1" customWidth="1"/>
    <col min="4887" max="4887" width="7.7109375" style="1" customWidth="1"/>
    <col min="4888" max="5120" width="9" style="1"/>
    <col min="5121" max="5121" width="3.7109375" style="1" customWidth="1"/>
    <col min="5122" max="5122" width="27.42578125" style="1" customWidth="1"/>
    <col min="5123" max="5124" width="8.28515625" style="1" customWidth="1"/>
    <col min="5125" max="5125" width="7.7109375" style="1" customWidth="1"/>
    <col min="5126" max="5126" width="9" style="1"/>
    <col min="5127" max="5127" width="6" style="1" customWidth="1"/>
    <col min="5128" max="5128" width="10.28515625" style="1" customWidth="1"/>
    <col min="5129" max="5129" width="7.7109375" style="1" customWidth="1"/>
    <col min="5130" max="5130" width="8.140625" style="1" customWidth="1"/>
    <col min="5131" max="5131" width="7.7109375" style="1" customWidth="1"/>
    <col min="5132" max="5132" width="6.28515625" style="1" customWidth="1"/>
    <col min="5133" max="5133" width="8.7109375" style="1" customWidth="1"/>
    <col min="5134" max="5134" width="10.7109375" style="1" customWidth="1"/>
    <col min="5135" max="5135" width="6.28515625" style="1" customWidth="1"/>
    <col min="5136" max="5136" width="7" style="1" customWidth="1"/>
    <col min="5137" max="5137" width="6" style="1" customWidth="1"/>
    <col min="5138" max="5138" width="7.28515625" style="1" customWidth="1"/>
    <col min="5139" max="5139" width="9.85546875" style="1" customWidth="1"/>
    <col min="5140" max="5140" width="9.28515625" style="1" customWidth="1"/>
    <col min="5141" max="5141" width="7.5703125" style="1" customWidth="1"/>
    <col min="5142" max="5142" width="6.28515625" style="1" customWidth="1"/>
    <col min="5143" max="5143" width="7.7109375" style="1" customWidth="1"/>
    <col min="5144" max="5376" width="9" style="1"/>
    <col min="5377" max="5377" width="3.7109375" style="1" customWidth="1"/>
    <col min="5378" max="5378" width="27.42578125" style="1" customWidth="1"/>
    <col min="5379" max="5380" width="8.28515625" style="1" customWidth="1"/>
    <col min="5381" max="5381" width="7.7109375" style="1" customWidth="1"/>
    <col min="5382" max="5382" width="9" style="1"/>
    <col min="5383" max="5383" width="6" style="1" customWidth="1"/>
    <col min="5384" max="5384" width="10.28515625" style="1" customWidth="1"/>
    <col min="5385" max="5385" width="7.7109375" style="1" customWidth="1"/>
    <col min="5386" max="5386" width="8.140625" style="1" customWidth="1"/>
    <col min="5387" max="5387" width="7.7109375" style="1" customWidth="1"/>
    <col min="5388" max="5388" width="6.28515625" style="1" customWidth="1"/>
    <col min="5389" max="5389" width="8.7109375" style="1" customWidth="1"/>
    <col min="5390" max="5390" width="10.7109375" style="1" customWidth="1"/>
    <col min="5391" max="5391" width="6.28515625" style="1" customWidth="1"/>
    <col min="5392" max="5392" width="7" style="1" customWidth="1"/>
    <col min="5393" max="5393" width="6" style="1" customWidth="1"/>
    <col min="5394" max="5394" width="7.28515625" style="1" customWidth="1"/>
    <col min="5395" max="5395" width="9.85546875" style="1" customWidth="1"/>
    <col min="5396" max="5396" width="9.28515625" style="1" customWidth="1"/>
    <col min="5397" max="5397" width="7.5703125" style="1" customWidth="1"/>
    <col min="5398" max="5398" width="6.28515625" style="1" customWidth="1"/>
    <col min="5399" max="5399" width="7.7109375" style="1" customWidth="1"/>
    <col min="5400" max="5632" width="9" style="1"/>
    <col min="5633" max="5633" width="3.7109375" style="1" customWidth="1"/>
    <col min="5634" max="5634" width="27.42578125" style="1" customWidth="1"/>
    <col min="5635" max="5636" width="8.28515625" style="1" customWidth="1"/>
    <col min="5637" max="5637" width="7.7109375" style="1" customWidth="1"/>
    <col min="5638" max="5638" width="9" style="1"/>
    <col min="5639" max="5639" width="6" style="1" customWidth="1"/>
    <col min="5640" max="5640" width="10.28515625" style="1" customWidth="1"/>
    <col min="5641" max="5641" width="7.7109375" style="1" customWidth="1"/>
    <col min="5642" max="5642" width="8.140625" style="1" customWidth="1"/>
    <col min="5643" max="5643" width="7.7109375" style="1" customWidth="1"/>
    <col min="5644" max="5644" width="6.28515625" style="1" customWidth="1"/>
    <col min="5645" max="5645" width="8.7109375" style="1" customWidth="1"/>
    <col min="5646" max="5646" width="10.7109375" style="1" customWidth="1"/>
    <col min="5647" max="5647" width="6.28515625" style="1" customWidth="1"/>
    <col min="5648" max="5648" width="7" style="1" customWidth="1"/>
    <col min="5649" max="5649" width="6" style="1" customWidth="1"/>
    <col min="5650" max="5650" width="7.28515625" style="1" customWidth="1"/>
    <col min="5651" max="5651" width="9.85546875" style="1" customWidth="1"/>
    <col min="5652" max="5652" width="9.28515625" style="1" customWidth="1"/>
    <col min="5653" max="5653" width="7.5703125" style="1" customWidth="1"/>
    <col min="5654" max="5654" width="6.28515625" style="1" customWidth="1"/>
    <col min="5655" max="5655" width="7.7109375" style="1" customWidth="1"/>
    <col min="5656" max="5888" width="9" style="1"/>
    <col min="5889" max="5889" width="3.7109375" style="1" customWidth="1"/>
    <col min="5890" max="5890" width="27.42578125" style="1" customWidth="1"/>
    <col min="5891" max="5892" width="8.28515625" style="1" customWidth="1"/>
    <col min="5893" max="5893" width="7.7109375" style="1" customWidth="1"/>
    <col min="5894" max="5894" width="9" style="1"/>
    <col min="5895" max="5895" width="6" style="1" customWidth="1"/>
    <col min="5896" max="5896" width="10.28515625" style="1" customWidth="1"/>
    <col min="5897" max="5897" width="7.7109375" style="1" customWidth="1"/>
    <col min="5898" max="5898" width="8.140625" style="1" customWidth="1"/>
    <col min="5899" max="5899" width="7.7109375" style="1" customWidth="1"/>
    <col min="5900" max="5900" width="6.28515625" style="1" customWidth="1"/>
    <col min="5901" max="5901" width="8.7109375" style="1" customWidth="1"/>
    <col min="5902" max="5902" width="10.7109375" style="1" customWidth="1"/>
    <col min="5903" max="5903" width="6.28515625" style="1" customWidth="1"/>
    <col min="5904" max="5904" width="7" style="1" customWidth="1"/>
    <col min="5905" max="5905" width="6" style="1" customWidth="1"/>
    <col min="5906" max="5906" width="7.28515625" style="1" customWidth="1"/>
    <col min="5907" max="5907" width="9.85546875" style="1" customWidth="1"/>
    <col min="5908" max="5908" width="9.28515625" style="1" customWidth="1"/>
    <col min="5909" max="5909" width="7.5703125" style="1" customWidth="1"/>
    <col min="5910" max="5910" width="6.28515625" style="1" customWidth="1"/>
    <col min="5911" max="5911" width="7.7109375" style="1" customWidth="1"/>
    <col min="5912" max="6144" width="9" style="1"/>
    <col min="6145" max="6145" width="3.7109375" style="1" customWidth="1"/>
    <col min="6146" max="6146" width="27.42578125" style="1" customWidth="1"/>
    <col min="6147" max="6148" width="8.28515625" style="1" customWidth="1"/>
    <col min="6149" max="6149" width="7.7109375" style="1" customWidth="1"/>
    <col min="6150" max="6150" width="9" style="1"/>
    <col min="6151" max="6151" width="6" style="1" customWidth="1"/>
    <col min="6152" max="6152" width="10.28515625" style="1" customWidth="1"/>
    <col min="6153" max="6153" width="7.7109375" style="1" customWidth="1"/>
    <col min="6154" max="6154" width="8.140625" style="1" customWidth="1"/>
    <col min="6155" max="6155" width="7.7109375" style="1" customWidth="1"/>
    <col min="6156" max="6156" width="6.28515625" style="1" customWidth="1"/>
    <col min="6157" max="6157" width="8.7109375" style="1" customWidth="1"/>
    <col min="6158" max="6158" width="10.7109375" style="1" customWidth="1"/>
    <col min="6159" max="6159" width="6.28515625" style="1" customWidth="1"/>
    <col min="6160" max="6160" width="7" style="1" customWidth="1"/>
    <col min="6161" max="6161" width="6" style="1" customWidth="1"/>
    <col min="6162" max="6162" width="7.28515625" style="1" customWidth="1"/>
    <col min="6163" max="6163" width="9.85546875" style="1" customWidth="1"/>
    <col min="6164" max="6164" width="9.28515625" style="1" customWidth="1"/>
    <col min="6165" max="6165" width="7.5703125" style="1" customWidth="1"/>
    <col min="6166" max="6166" width="6.28515625" style="1" customWidth="1"/>
    <col min="6167" max="6167" width="7.7109375" style="1" customWidth="1"/>
    <col min="6168" max="6400" width="9" style="1"/>
    <col min="6401" max="6401" width="3.7109375" style="1" customWidth="1"/>
    <col min="6402" max="6402" width="27.42578125" style="1" customWidth="1"/>
    <col min="6403" max="6404" width="8.28515625" style="1" customWidth="1"/>
    <col min="6405" max="6405" width="7.7109375" style="1" customWidth="1"/>
    <col min="6406" max="6406" width="9" style="1"/>
    <col min="6407" max="6407" width="6" style="1" customWidth="1"/>
    <col min="6408" max="6408" width="10.28515625" style="1" customWidth="1"/>
    <col min="6409" max="6409" width="7.7109375" style="1" customWidth="1"/>
    <col min="6410" max="6410" width="8.140625" style="1" customWidth="1"/>
    <col min="6411" max="6411" width="7.7109375" style="1" customWidth="1"/>
    <col min="6412" max="6412" width="6.28515625" style="1" customWidth="1"/>
    <col min="6413" max="6413" width="8.7109375" style="1" customWidth="1"/>
    <col min="6414" max="6414" width="10.7109375" style="1" customWidth="1"/>
    <col min="6415" max="6415" width="6.28515625" style="1" customWidth="1"/>
    <col min="6416" max="6416" width="7" style="1" customWidth="1"/>
    <col min="6417" max="6417" width="6" style="1" customWidth="1"/>
    <col min="6418" max="6418" width="7.28515625" style="1" customWidth="1"/>
    <col min="6419" max="6419" width="9.85546875" style="1" customWidth="1"/>
    <col min="6420" max="6420" width="9.28515625" style="1" customWidth="1"/>
    <col min="6421" max="6421" width="7.5703125" style="1" customWidth="1"/>
    <col min="6422" max="6422" width="6.28515625" style="1" customWidth="1"/>
    <col min="6423" max="6423" width="7.7109375" style="1" customWidth="1"/>
    <col min="6424" max="6656" width="9" style="1"/>
    <col min="6657" max="6657" width="3.7109375" style="1" customWidth="1"/>
    <col min="6658" max="6658" width="27.42578125" style="1" customWidth="1"/>
    <col min="6659" max="6660" width="8.28515625" style="1" customWidth="1"/>
    <col min="6661" max="6661" width="7.7109375" style="1" customWidth="1"/>
    <col min="6662" max="6662" width="9" style="1"/>
    <col min="6663" max="6663" width="6" style="1" customWidth="1"/>
    <col min="6664" max="6664" width="10.28515625" style="1" customWidth="1"/>
    <col min="6665" max="6665" width="7.7109375" style="1" customWidth="1"/>
    <col min="6666" max="6666" width="8.140625" style="1" customWidth="1"/>
    <col min="6667" max="6667" width="7.7109375" style="1" customWidth="1"/>
    <col min="6668" max="6668" width="6.28515625" style="1" customWidth="1"/>
    <col min="6669" max="6669" width="8.7109375" style="1" customWidth="1"/>
    <col min="6670" max="6670" width="10.7109375" style="1" customWidth="1"/>
    <col min="6671" max="6671" width="6.28515625" style="1" customWidth="1"/>
    <col min="6672" max="6672" width="7" style="1" customWidth="1"/>
    <col min="6673" max="6673" width="6" style="1" customWidth="1"/>
    <col min="6674" max="6674" width="7.28515625" style="1" customWidth="1"/>
    <col min="6675" max="6675" width="9.85546875" style="1" customWidth="1"/>
    <col min="6676" max="6676" width="9.28515625" style="1" customWidth="1"/>
    <col min="6677" max="6677" width="7.5703125" style="1" customWidth="1"/>
    <col min="6678" max="6678" width="6.28515625" style="1" customWidth="1"/>
    <col min="6679" max="6679" width="7.7109375" style="1" customWidth="1"/>
    <col min="6680" max="6912" width="9" style="1"/>
    <col min="6913" max="6913" width="3.7109375" style="1" customWidth="1"/>
    <col min="6914" max="6914" width="27.42578125" style="1" customWidth="1"/>
    <col min="6915" max="6916" width="8.28515625" style="1" customWidth="1"/>
    <col min="6917" max="6917" width="7.7109375" style="1" customWidth="1"/>
    <col min="6918" max="6918" width="9" style="1"/>
    <col min="6919" max="6919" width="6" style="1" customWidth="1"/>
    <col min="6920" max="6920" width="10.28515625" style="1" customWidth="1"/>
    <col min="6921" max="6921" width="7.7109375" style="1" customWidth="1"/>
    <col min="6922" max="6922" width="8.140625" style="1" customWidth="1"/>
    <col min="6923" max="6923" width="7.7109375" style="1" customWidth="1"/>
    <col min="6924" max="6924" width="6.28515625" style="1" customWidth="1"/>
    <col min="6925" max="6925" width="8.7109375" style="1" customWidth="1"/>
    <col min="6926" max="6926" width="10.7109375" style="1" customWidth="1"/>
    <col min="6927" max="6927" width="6.28515625" style="1" customWidth="1"/>
    <col min="6928" max="6928" width="7" style="1" customWidth="1"/>
    <col min="6929" max="6929" width="6" style="1" customWidth="1"/>
    <col min="6930" max="6930" width="7.28515625" style="1" customWidth="1"/>
    <col min="6931" max="6931" width="9.85546875" style="1" customWidth="1"/>
    <col min="6932" max="6932" width="9.28515625" style="1" customWidth="1"/>
    <col min="6933" max="6933" width="7.5703125" style="1" customWidth="1"/>
    <col min="6934" max="6934" width="6.28515625" style="1" customWidth="1"/>
    <col min="6935" max="6935" width="7.7109375" style="1" customWidth="1"/>
    <col min="6936" max="7168" width="9" style="1"/>
    <col min="7169" max="7169" width="3.7109375" style="1" customWidth="1"/>
    <col min="7170" max="7170" width="27.42578125" style="1" customWidth="1"/>
    <col min="7171" max="7172" width="8.28515625" style="1" customWidth="1"/>
    <col min="7173" max="7173" width="7.7109375" style="1" customWidth="1"/>
    <col min="7174" max="7174" width="9" style="1"/>
    <col min="7175" max="7175" width="6" style="1" customWidth="1"/>
    <col min="7176" max="7176" width="10.28515625" style="1" customWidth="1"/>
    <col min="7177" max="7177" width="7.7109375" style="1" customWidth="1"/>
    <col min="7178" max="7178" width="8.140625" style="1" customWidth="1"/>
    <col min="7179" max="7179" width="7.7109375" style="1" customWidth="1"/>
    <col min="7180" max="7180" width="6.28515625" style="1" customWidth="1"/>
    <col min="7181" max="7181" width="8.7109375" style="1" customWidth="1"/>
    <col min="7182" max="7182" width="10.7109375" style="1" customWidth="1"/>
    <col min="7183" max="7183" width="6.28515625" style="1" customWidth="1"/>
    <col min="7184" max="7184" width="7" style="1" customWidth="1"/>
    <col min="7185" max="7185" width="6" style="1" customWidth="1"/>
    <col min="7186" max="7186" width="7.28515625" style="1" customWidth="1"/>
    <col min="7187" max="7187" width="9.85546875" style="1" customWidth="1"/>
    <col min="7188" max="7188" width="9.28515625" style="1" customWidth="1"/>
    <col min="7189" max="7189" width="7.5703125" style="1" customWidth="1"/>
    <col min="7190" max="7190" width="6.28515625" style="1" customWidth="1"/>
    <col min="7191" max="7191" width="7.7109375" style="1" customWidth="1"/>
    <col min="7192" max="7424" width="9" style="1"/>
    <col min="7425" max="7425" width="3.7109375" style="1" customWidth="1"/>
    <col min="7426" max="7426" width="27.42578125" style="1" customWidth="1"/>
    <col min="7427" max="7428" width="8.28515625" style="1" customWidth="1"/>
    <col min="7429" max="7429" width="7.7109375" style="1" customWidth="1"/>
    <col min="7430" max="7430" width="9" style="1"/>
    <col min="7431" max="7431" width="6" style="1" customWidth="1"/>
    <col min="7432" max="7432" width="10.28515625" style="1" customWidth="1"/>
    <col min="7433" max="7433" width="7.7109375" style="1" customWidth="1"/>
    <col min="7434" max="7434" width="8.140625" style="1" customWidth="1"/>
    <col min="7435" max="7435" width="7.7109375" style="1" customWidth="1"/>
    <col min="7436" max="7436" width="6.28515625" style="1" customWidth="1"/>
    <col min="7437" max="7437" width="8.7109375" style="1" customWidth="1"/>
    <col min="7438" max="7438" width="10.7109375" style="1" customWidth="1"/>
    <col min="7439" max="7439" width="6.28515625" style="1" customWidth="1"/>
    <col min="7440" max="7440" width="7" style="1" customWidth="1"/>
    <col min="7441" max="7441" width="6" style="1" customWidth="1"/>
    <col min="7442" max="7442" width="7.28515625" style="1" customWidth="1"/>
    <col min="7443" max="7443" width="9.85546875" style="1" customWidth="1"/>
    <col min="7444" max="7444" width="9.28515625" style="1" customWidth="1"/>
    <col min="7445" max="7445" width="7.5703125" style="1" customWidth="1"/>
    <col min="7446" max="7446" width="6.28515625" style="1" customWidth="1"/>
    <col min="7447" max="7447" width="7.7109375" style="1" customWidth="1"/>
    <col min="7448" max="7680" width="9" style="1"/>
    <col min="7681" max="7681" width="3.7109375" style="1" customWidth="1"/>
    <col min="7682" max="7682" width="27.42578125" style="1" customWidth="1"/>
    <col min="7683" max="7684" width="8.28515625" style="1" customWidth="1"/>
    <col min="7685" max="7685" width="7.7109375" style="1" customWidth="1"/>
    <col min="7686" max="7686" width="9" style="1"/>
    <col min="7687" max="7687" width="6" style="1" customWidth="1"/>
    <col min="7688" max="7688" width="10.28515625" style="1" customWidth="1"/>
    <col min="7689" max="7689" width="7.7109375" style="1" customWidth="1"/>
    <col min="7690" max="7690" width="8.140625" style="1" customWidth="1"/>
    <col min="7691" max="7691" width="7.7109375" style="1" customWidth="1"/>
    <col min="7692" max="7692" width="6.28515625" style="1" customWidth="1"/>
    <col min="7693" max="7693" width="8.7109375" style="1" customWidth="1"/>
    <col min="7694" max="7694" width="10.7109375" style="1" customWidth="1"/>
    <col min="7695" max="7695" width="6.28515625" style="1" customWidth="1"/>
    <col min="7696" max="7696" width="7" style="1" customWidth="1"/>
    <col min="7697" max="7697" width="6" style="1" customWidth="1"/>
    <col min="7698" max="7698" width="7.28515625" style="1" customWidth="1"/>
    <col min="7699" max="7699" width="9.85546875" style="1" customWidth="1"/>
    <col min="7700" max="7700" width="9.28515625" style="1" customWidth="1"/>
    <col min="7701" max="7701" width="7.5703125" style="1" customWidth="1"/>
    <col min="7702" max="7702" width="6.28515625" style="1" customWidth="1"/>
    <col min="7703" max="7703" width="7.7109375" style="1" customWidth="1"/>
    <col min="7704" max="7936" width="9" style="1"/>
    <col min="7937" max="7937" width="3.7109375" style="1" customWidth="1"/>
    <col min="7938" max="7938" width="27.42578125" style="1" customWidth="1"/>
    <col min="7939" max="7940" width="8.28515625" style="1" customWidth="1"/>
    <col min="7941" max="7941" width="7.7109375" style="1" customWidth="1"/>
    <col min="7942" max="7942" width="9" style="1"/>
    <col min="7943" max="7943" width="6" style="1" customWidth="1"/>
    <col min="7944" max="7944" width="10.28515625" style="1" customWidth="1"/>
    <col min="7945" max="7945" width="7.7109375" style="1" customWidth="1"/>
    <col min="7946" max="7946" width="8.140625" style="1" customWidth="1"/>
    <col min="7947" max="7947" width="7.7109375" style="1" customWidth="1"/>
    <col min="7948" max="7948" width="6.28515625" style="1" customWidth="1"/>
    <col min="7949" max="7949" width="8.7109375" style="1" customWidth="1"/>
    <col min="7950" max="7950" width="10.7109375" style="1" customWidth="1"/>
    <col min="7951" max="7951" width="6.28515625" style="1" customWidth="1"/>
    <col min="7952" max="7952" width="7" style="1" customWidth="1"/>
    <col min="7953" max="7953" width="6" style="1" customWidth="1"/>
    <col min="7954" max="7954" width="7.28515625" style="1" customWidth="1"/>
    <col min="7955" max="7955" width="9.85546875" style="1" customWidth="1"/>
    <col min="7956" max="7956" width="9.28515625" style="1" customWidth="1"/>
    <col min="7957" max="7957" width="7.5703125" style="1" customWidth="1"/>
    <col min="7958" max="7958" width="6.28515625" style="1" customWidth="1"/>
    <col min="7959" max="7959" width="7.7109375" style="1" customWidth="1"/>
    <col min="7960" max="8192" width="9" style="1"/>
    <col min="8193" max="8193" width="3.7109375" style="1" customWidth="1"/>
    <col min="8194" max="8194" width="27.42578125" style="1" customWidth="1"/>
    <col min="8195" max="8196" width="8.28515625" style="1" customWidth="1"/>
    <col min="8197" max="8197" width="7.7109375" style="1" customWidth="1"/>
    <col min="8198" max="8198" width="9" style="1"/>
    <col min="8199" max="8199" width="6" style="1" customWidth="1"/>
    <col min="8200" max="8200" width="10.28515625" style="1" customWidth="1"/>
    <col min="8201" max="8201" width="7.7109375" style="1" customWidth="1"/>
    <col min="8202" max="8202" width="8.140625" style="1" customWidth="1"/>
    <col min="8203" max="8203" width="7.7109375" style="1" customWidth="1"/>
    <col min="8204" max="8204" width="6.28515625" style="1" customWidth="1"/>
    <col min="8205" max="8205" width="8.7109375" style="1" customWidth="1"/>
    <col min="8206" max="8206" width="10.7109375" style="1" customWidth="1"/>
    <col min="8207" max="8207" width="6.28515625" style="1" customWidth="1"/>
    <col min="8208" max="8208" width="7" style="1" customWidth="1"/>
    <col min="8209" max="8209" width="6" style="1" customWidth="1"/>
    <col min="8210" max="8210" width="7.28515625" style="1" customWidth="1"/>
    <col min="8211" max="8211" width="9.85546875" style="1" customWidth="1"/>
    <col min="8212" max="8212" width="9.28515625" style="1" customWidth="1"/>
    <col min="8213" max="8213" width="7.5703125" style="1" customWidth="1"/>
    <col min="8214" max="8214" width="6.28515625" style="1" customWidth="1"/>
    <col min="8215" max="8215" width="7.7109375" style="1" customWidth="1"/>
    <col min="8216" max="8448" width="9" style="1"/>
    <col min="8449" max="8449" width="3.7109375" style="1" customWidth="1"/>
    <col min="8450" max="8450" width="27.42578125" style="1" customWidth="1"/>
    <col min="8451" max="8452" width="8.28515625" style="1" customWidth="1"/>
    <col min="8453" max="8453" width="7.7109375" style="1" customWidth="1"/>
    <col min="8454" max="8454" width="9" style="1"/>
    <col min="8455" max="8455" width="6" style="1" customWidth="1"/>
    <col min="8456" max="8456" width="10.28515625" style="1" customWidth="1"/>
    <col min="8457" max="8457" width="7.7109375" style="1" customWidth="1"/>
    <col min="8458" max="8458" width="8.140625" style="1" customWidth="1"/>
    <col min="8459" max="8459" width="7.7109375" style="1" customWidth="1"/>
    <col min="8460" max="8460" width="6.28515625" style="1" customWidth="1"/>
    <col min="8461" max="8461" width="8.7109375" style="1" customWidth="1"/>
    <col min="8462" max="8462" width="10.7109375" style="1" customWidth="1"/>
    <col min="8463" max="8463" width="6.28515625" style="1" customWidth="1"/>
    <col min="8464" max="8464" width="7" style="1" customWidth="1"/>
    <col min="8465" max="8465" width="6" style="1" customWidth="1"/>
    <col min="8466" max="8466" width="7.28515625" style="1" customWidth="1"/>
    <col min="8467" max="8467" width="9.85546875" style="1" customWidth="1"/>
    <col min="8468" max="8468" width="9.28515625" style="1" customWidth="1"/>
    <col min="8469" max="8469" width="7.5703125" style="1" customWidth="1"/>
    <col min="8470" max="8470" width="6.28515625" style="1" customWidth="1"/>
    <col min="8471" max="8471" width="7.7109375" style="1" customWidth="1"/>
    <col min="8472" max="8704" width="9" style="1"/>
    <col min="8705" max="8705" width="3.7109375" style="1" customWidth="1"/>
    <col min="8706" max="8706" width="27.42578125" style="1" customWidth="1"/>
    <col min="8707" max="8708" width="8.28515625" style="1" customWidth="1"/>
    <col min="8709" max="8709" width="7.7109375" style="1" customWidth="1"/>
    <col min="8710" max="8710" width="9" style="1"/>
    <col min="8711" max="8711" width="6" style="1" customWidth="1"/>
    <col min="8712" max="8712" width="10.28515625" style="1" customWidth="1"/>
    <col min="8713" max="8713" width="7.7109375" style="1" customWidth="1"/>
    <col min="8714" max="8714" width="8.140625" style="1" customWidth="1"/>
    <col min="8715" max="8715" width="7.7109375" style="1" customWidth="1"/>
    <col min="8716" max="8716" width="6.28515625" style="1" customWidth="1"/>
    <col min="8717" max="8717" width="8.7109375" style="1" customWidth="1"/>
    <col min="8718" max="8718" width="10.7109375" style="1" customWidth="1"/>
    <col min="8719" max="8719" width="6.28515625" style="1" customWidth="1"/>
    <col min="8720" max="8720" width="7" style="1" customWidth="1"/>
    <col min="8721" max="8721" width="6" style="1" customWidth="1"/>
    <col min="8722" max="8722" width="7.28515625" style="1" customWidth="1"/>
    <col min="8723" max="8723" width="9.85546875" style="1" customWidth="1"/>
    <col min="8724" max="8724" width="9.28515625" style="1" customWidth="1"/>
    <col min="8725" max="8725" width="7.5703125" style="1" customWidth="1"/>
    <col min="8726" max="8726" width="6.28515625" style="1" customWidth="1"/>
    <col min="8727" max="8727" width="7.7109375" style="1" customWidth="1"/>
    <col min="8728" max="8960" width="9" style="1"/>
    <col min="8961" max="8961" width="3.7109375" style="1" customWidth="1"/>
    <col min="8962" max="8962" width="27.42578125" style="1" customWidth="1"/>
    <col min="8963" max="8964" width="8.28515625" style="1" customWidth="1"/>
    <col min="8965" max="8965" width="7.7109375" style="1" customWidth="1"/>
    <col min="8966" max="8966" width="9" style="1"/>
    <col min="8967" max="8967" width="6" style="1" customWidth="1"/>
    <col min="8968" max="8968" width="10.28515625" style="1" customWidth="1"/>
    <col min="8969" max="8969" width="7.7109375" style="1" customWidth="1"/>
    <col min="8970" max="8970" width="8.140625" style="1" customWidth="1"/>
    <col min="8971" max="8971" width="7.7109375" style="1" customWidth="1"/>
    <col min="8972" max="8972" width="6.28515625" style="1" customWidth="1"/>
    <col min="8973" max="8973" width="8.7109375" style="1" customWidth="1"/>
    <col min="8974" max="8974" width="10.7109375" style="1" customWidth="1"/>
    <col min="8975" max="8975" width="6.28515625" style="1" customWidth="1"/>
    <col min="8976" max="8976" width="7" style="1" customWidth="1"/>
    <col min="8977" max="8977" width="6" style="1" customWidth="1"/>
    <col min="8978" max="8978" width="7.28515625" style="1" customWidth="1"/>
    <col min="8979" max="8979" width="9.85546875" style="1" customWidth="1"/>
    <col min="8980" max="8980" width="9.28515625" style="1" customWidth="1"/>
    <col min="8981" max="8981" width="7.5703125" style="1" customWidth="1"/>
    <col min="8982" max="8982" width="6.28515625" style="1" customWidth="1"/>
    <col min="8983" max="8983" width="7.7109375" style="1" customWidth="1"/>
    <col min="8984" max="9216" width="9" style="1"/>
    <col min="9217" max="9217" width="3.7109375" style="1" customWidth="1"/>
    <col min="9218" max="9218" width="27.42578125" style="1" customWidth="1"/>
    <col min="9219" max="9220" width="8.28515625" style="1" customWidth="1"/>
    <col min="9221" max="9221" width="7.7109375" style="1" customWidth="1"/>
    <col min="9222" max="9222" width="9" style="1"/>
    <col min="9223" max="9223" width="6" style="1" customWidth="1"/>
    <col min="9224" max="9224" width="10.28515625" style="1" customWidth="1"/>
    <col min="9225" max="9225" width="7.7109375" style="1" customWidth="1"/>
    <col min="9226" max="9226" width="8.140625" style="1" customWidth="1"/>
    <col min="9227" max="9227" width="7.7109375" style="1" customWidth="1"/>
    <col min="9228" max="9228" width="6.28515625" style="1" customWidth="1"/>
    <col min="9229" max="9229" width="8.7109375" style="1" customWidth="1"/>
    <col min="9230" max="9230" width="10.7109375" style="1" customWidth="1"/>
    <col min="9231" max="9231" width="6.28515625" style="1" customWidth="1"/>
    <col min="9232" max="9232" width="7" style="1" customWidth="1"/>
    <col min="9233" max="9233" width="6" style="1" customWidth="1"/>
    <col min="9234" max="9234" width="7.28515625" style="1" customWidth="1"/>
    <col min="9235" max="9235" width="9.85546875" style="1" customWidth="1"/>
    <col min="9236" max="9236" width="9.28515625" style="1" customWidth="1"/>
    <col min="9237" max="9237" width="7.5703125" style="1" customWidth="1"/>
    <col min="9238" max="9238" width="6.28515625" style="1" customWidth="1"/>
    <col min="9239" max="9239" width="7.7109375" style="1" customWidth="1"/>
    <col min="9240" max="9472" width="9" style="1"/>
    <col min="9473" max="9473" width="3.7109375" style="1" customWidth="1"/>
    <col min="9474" max="9474" width="27.42578125" style="1" customWidth="1"/>
    <col min="9475" max="9476" width="8.28515625" style="1" customWidth="1"/>
    <col min="9477" max="9477" width="7.7109375" style="1" customWidth="1"/>
    <col min="9478" max="9478" width="9" style="1"/>
    <col min="9479" max="9479" width="6" style="1" customWidth="1"/>
    <col min="9480" max="9480" width="10.28515625" style="1" customWidth="1"/>
    <col min="9481" max="9481" width="7.7109375" style="1" customWidth="1"/>
    <col min="9482" max="9482" width="8.140625" style="1" customWidth="1"/>
    <col min="9483" max="9483" width="7.7109375" style="1" customWidth="1"/>
    <col min="9484" max="9484" width="6.28515625" style="1" customWidth="1"/>
    <col min="9485" max="9485" width="8.7109375" style="1" customWidth="1"/>
    <col min="9486" max="9486" width="10.7109375" style="1" customWidth="1"/>
    <col min="9487" max="9487" width="6.28515625" style="1" customWidth="1"/>
    <col min="9488" max="9488" width="7" style="1" customWidth="1"/>
    <col min="9489" max="9489" width="6" style="1" customWidth="1"/>
    <col min="9490" max="9490" width="7.28515625" style="1" customWidth="1"/>
    <col min="9491" max="9491" width="9.85546875" style="1" customWidth="1"/>
    <col min="9492" max="9492" width="9.28515625" style="1" customWidth="1"/>
    <col min="9493" max="9493" width="7.5703125" style="1" customWidth="1"/>
    <col min="9494" max="9494" width="6.28515625" style="1" customWidth="1"/>
    <col min="9495" max="9495" width="7.7109375" style="1" customWidth="1"/>
    <col min="9496" max="9728" width="9" style="1"/>
    <col min="9729" max="9729" width="3.7109375" style="1" customWidth="1"/>
    <col min="9730" max="9730" width="27.42578125" style="1" customWidth="1"/>
    <col min="9731" max="9732" width="8.28515625" style="1" customWidth="1"/>
    <col min="9733" max="9733" width="7.7109375" style="1" customWidth="1"/>
    <col min="9734" max="9734" width="9" style="1"/>
    <col min="9735" max="9735" width="6" style="1" customWidth="1"/>
    <col min="9736" max="9736" width="10.28515625" style="1" customWidth="1"/>
    <col min="9737" max="9737" width="7.7109375" style="1" customWidth="1"/>
    <col min="9738" max="9738" width="8.140625" style="1" customWidth="1"/>
    <col min="9739" max="9739" width="7.7109375" style="1" customWidth="1"/>
    <col min="9740" max="9740" width="6.28515625" style="1" customWidth="1"/>
    <col min="9741" max="9741" width="8.7109375" style="1" customWidth="1"/>
    <col min="9742" max="9742" width="10.7109375" style="1" customWidth="1"/>
    <col min="9743" max="9743" width="6.28515625" style="1" customWidth="1"/>
    <col min="9744" max="9744" width="7" style="1" customWidth="1"/>
    <col min="9745" max="9745" width="6" style="1" customWidth="1"/>
    <col min="9746" max="9746" width="7.28515625" style="1" customWidth="1"/>
    <col min="9747" max="9747" width="9.85546875" style="1" customWidth="1"/>
    <col min="9748" max="9748" width="9.28515625" style="1" customWidth="1"/>
    <col min="9749" max="9749" width="7.5703125" style="1" customWidth="1"/>
    <col min="9750" max="9750" width="6.28515625" style="1" customWidth="1"/>
    <col min="9751" max="9751" width="7.7109375" style="1" customWidth="1"/>
    <col min="9752" max="9984" width="9" style="1"/>
    <col min="9985" max="9985" width="3.7109375" style="1" customWidth="1"/>
    <col min="9986" max="9986" width="27.42578125" style="1" customWidth="1"/>
    <col min="9987" max="9988" width="8.28515625" style="1" customWidth="1"/>
    <col min="9989" max="9989" width="7.7109375" style="1" customWidth="1"/>
    <col min="9990" max="9990" width="9" style="1"/>
    <col min="9991" max="9991" width="6" style="1" customWidth="1"/>
    <col min="9992" max="9992" width="10.28515625" style="1" customWidth="1"/>
    <col min="9993" max="9993" width="7.7109375" style="1" customWidth="1"/>
    <col min="9994" max="9994" width="8.140625" style="1" customWidth="1"/>
    <col min="9995" max="9995" width="7.7109375" style="1" customWidth="1"/>
    <col min="9996" max="9996" width="6.28515625" style="1" customWidth="1"/>
    <col min="9997" max="9997" width="8.7109375" style="1" customWidth="1"/>
    <col min="9998" max="9998" width="10.7109375" style="1" customWidth="1"/>
    <col min="9999" max="9999" width="6.28515625" style="1" customWidth="1"/>
    <col min="10000" max="10000" width="7" style="1" customWidth="1"/>
    <col min="10001" max="10001" width="6" style="1" customWidth="1"/>
    <col min="10002" max="10002" width="7.28515625" style="1" customWidth="1"/>
    <col min="10003" max="10003" width="9.85546875" style="1" customWidth="1"/>
    <col min="10004" max="10004" width="9.28515625" style="1" customWidth="1"/>
    <col min="10005" max="10005" width="7.5703125" style="1" customWidth="1"/>
    <col min="10006" max="10006" width="6.28515625" style="1" customWidth="1"/>
    <col min="10007" max="10007" width="7.7109375" style="1" customWidth="1"/>
    <col min="10008" max="10240" width="9" style="1"/>
    <col min="10241" max="10241" width="3.7109375" style="1" customWidth="1"/>
    <col min="10242" max="10242" width="27.42578125" style="1" customWidth="1"/>
    <col min="10243" max="10244" width="8.28515625" style="1" customWidth="1"/>
    <col min="10245" max="10245" width="7.7109375" style="1" customWidth="1"/>
    <col min="10246" max="10246" width="9" style="1"/>
    <col min="10247" max="10247" width="6" style="1" customWidth="1"/>
    <col min="10248" max="10248" width="10.28515625" style="1" customWidth="1"/>
    <col min="10249" max="10249" width="7.7109375" style="1" customWidth="1"/>
    <col min="10250" max="10250" width="8.140625" style="1" customWidth="1"/>
    <col min="10251" max="10251" width="7.7109375" style="1" customWidth="1"/>
    <col min="10252" max="10252" width="6.28515625" style="1" customWidth="1"/>
    <col min="10253" max="10253" width="8.7109375" style="1" customWidth="1"/>
    <col min="10254" max="10254" width="10.7109375" style="1" customWidth="1"/>
    <col min="10255" max="10255" width="6.28515625" style="1" customWidth="1"/>
    <col min="10256" max="10256" width="7" style="1" customWidth="1"/>
    <col min="10257" max="10257" width="6" style="1" customWidth="1"/>
    <col min="10258" max="10258" width="7.28515625" style="1" customWidth="1"/>
    <col min="10259" max="10259" width="9.85546875" style="1" customWidth="1"/>
    <col min="10260" max="10260" width="9.28515625" style="1" customWidth="1"/>
    <col min="10261" max="10261" width="7.5703125" style="1" customWidth="1"/>
    <col min="10262" max="10262" width="6.28515625" style="1" customWidth="1"/>
    <col min="10263" max="10263" width="7.7109375" style="1" customWidth="1"/>
    <col min="10264" max="10496" width="9" style="1"/>
    <col min="10497" max="10497" width="3.7109375" style="1" customWidth="1"/>
    <col min="10498" max="10498" width="27.42578125" style="1" customWidth="1"/>
    <col min="10499" max="10500" width="8.28515625" style="1" customWidth="1"/>
    <col min="10501" max="10501" width="7.7109375" style="1" customWidth="1"/>
    <col min="10502" max="10502" width="9" style="1"/>
    <col min="10503" max="10503" width="6" style="1" customWidth="1"/>
    <col min="10504" max="10504" width="10.28515625" style="1" customWidth="1"/>
    <col min="10505" max="10505" width="7.7109375" style="1" customWidth="1"/>
    <col min="10506" max="10506" width="8.140625" style="1" customWidth="1"/>
    <col min="10507" max="10507" width="7.7109375" style="1" customWidth="1"/>
    <col min="10508" max="10508" width="6.28515625" style="1" customWidth="1"/>
    <col min="10509" max="10509" width="8.7109375" style="1" customWidth="1"/>
    <col min="10510" max="10510" width="10.7109375" style="1" customWidth="1"/>
    <col min="10511" max="10511" width="6.28515625" style="1" customWidth="1"/>
    <col min="10512" max="10512" width="7" style="1" customWidth="1"/>
    <col min="10513" max="10513" width="6" style="1" customWidth="1"/>
    <col min="10514" max="10514" width="7.28515625" style="1" customWidth="1"/>
    <col min="10515" max="10515" width="9.85546875" style="1" customWidth="1"/>
    <col min="10516" max="10516" width="9.28515625" style="1" customWidth="1"/>
    <col min="10517" max="10517" width="7.5703125" style="1" customWidth="1"/>
    <col min="10518" max="10518" width="6.28515625" style="1" customWidth="1"/>
    <col min="10519" max="10519" width="7.7109375" style="1" customWidth="1"/>
    <col min="10520" max="10752" width="9" style="1"/>
    <col min="10753" max="10753" width="3.7109375" style="1" customWidth="1"/>
    <col min="10754" max="10754" width="27.42578125" style="1" customWidth="1"/>
    <col min="10755" max="10756" width="8.28515625" style="1" customWidth="1"/>
    <col min="10757" max="10757" width="7.7109375" style="1" customWidth="1"/>
    <col min="10758" max="10758" width="9" style="1"/>
    <col min="10759" max="10759" width="6" style="1" customWidth="1"/>
    <col min="10760" max="10760" width="10.28515625" style="1" customWidth="1"/>
    <col min="10761" max="10761" width="7.7109375" style="1" customWidth="1"/>
    <col min="10762" max="10762" width="8.140625" style="1" customWidth="1"/>
    <col min="10763" max="10763" width="7.7109375" style="1" customWidth="1"/>
    <col min="10764" max="10764" width="6.28515625" style="1" customWidth="1"/>
    <col min="10765" max="10765" width="8.7109375" style="1" customWidth="1"/>
    <col min="10766" max="10766" width="10.7109375" style="1" customWidth="1"/>
    <col min="10767" max="10767" width="6.28515625" style="1" customWidth="1"/>
    <col min="10768" max="10768" width="7" style="1" customWidth="1"/>
    <col min="10769" max="10769" width="6" style="1" customWidth="1"/>
    <col min="10770" max="10770" width="7.28515625" style="1" customWidth="1"/>
    <col min="10771" max="10771" width="9.85546875" style="1" customWidth="1"/>
    <col min="10772" max="10772" width="9.28515625" style="1" customWidth="1"/>
    <col min="10773" max="10773" width="7.5703125" style="1" customWidth="1"/>
    <col min="10774" max="10774" width="6.28515625" style="1" customWidth="1"/>
    <col min="10775" max="10775" width="7.7109375" style="1" customWidth="1"/>
    <col min="10776" max="11008" width="9" style="1"/>
    <col min="11009" max="11009" width="3.7109375" style="1" customWidth="1"/>
    <col min="11010" max="11010" width="27.42578125" style="1" customWidth="1"/>
    <col min="11011" max="11012" width="8.28515625" style="1" customWidth="1"/>
    <col min="11013" max="11013" width="7.7109375" style="1" customWidth="1"/>
    <col min="11014" max="11014" width="9" style="1"/>
    <col min="11015" max="11015" width="6" style="1" customWidth="1"/>
    <col min="11016" max="11016" width="10.28515625" style="1" customWidth="1"/>
    <col min="11017" max="11017" width="7.7109375" style="1" customWidth="1"/>
    <col min="11018" max="11018" width="8.140625" style="1" customWidth="1"/>
    <col min="11019" max="11019" width="7.7109375" style="1" customWidth="1"/>
    <col min="11020" max="11020" width="6.28515625" style="1" customWidth="1"/>
    <col min="11021" max="11021" width="8.7109375" style="1" customWidth="1"/>
    <col min="11022" max="11022" width="10.7109375" style="1" customWidth="1"/>
    <col min="11023" max="11023" width="6.28515625" style="1" customWidth="1"/>
    <col min="11024" max="11024" width="7" style="1" customWidth="1"/>
    <col min="11025" max="11025" width="6" style="1" customWidth="1"/>
    <col min="11026" max="11026" width="7.28515625" style="1" customWidth="1"/>
    <col min="11027" max="11027" width="9.85546875" style="1" customWidth="1"/>
    <col min="11028" max="11028" width="9.28515625" style="1" customWidth="1"/>
    <col min="11029" max="11029" width="7.5703125" style="1" customWidth="1"/>
    <col min="11030" max="11030" width="6.28515625" style="1" customWidth="1"/>
    <col min="11031" max="11031" width="7.7109375" style="1" customWidth="1"/>
    <col min="11032" max="11264" width="9" style="1"/>
    <col min="11265" max="11265" width="3.7109375" style="1" customWidth="1"/>
    <col min="11266" max="11266" width="27.42578125" style="1" customWidth="1"/>
    <col min="11267" max="11268" width="8.28515625" style="1" customWidth="1"/>
    <col min="11269" max="11269" width="7.7109375" style="1" customWidth="1"/>
    <col min="11270" max="11270" width="9" style="1"/>
    <col min="11271" max="11271" width="6" style="1" customWidth="1"/>
    <col min="11272" max="11272" width="10.28515625" style="1" customWidth="1"/>
    <col min="11273" max="11273" width="7.7109375" style="1" customWidth="1"/>
    <col min="11274" max="11274" width="8.140625" style="1" customWidth="1"/>
    <col min="11275" max="11275" width="7.7109375" style="1" customWidth="1"/>
    <col min="11276" max="11276" width="6.28515625" style="1" customWidth="1"/>
    <col min="11277" max="11277" width="8.7109375" style="1" customWidth="1"/>
    <col min="11278" max="11278" width="10.7109375" style="1" customWidth="1"/>
    <col min="11279" max="11279" width="6.28515625" style="1" customWidth="1"/>
    <col min="11280" max="11280" width="7" style="1" customWidth="1"/>
    <col min="11281" max="11281" width="6" style="1" customWidth="1"/>
    <col min="11282" max="11282" width="7.28515625" style="1" customWidth="1"/>
    <col min="11283" max="11283" width="9.85546875" style="1" customWidth="1"/>
    <col min="11284" max="11284" width="9.28515625" style="1" customWidth="1"/>
    <col min="11285" max="11285" width="7.5703125" style="1" customWidth="1"/>
    <col min="11286" max="11286" width="6.28515625" style="1" customWidth="1"/>
    <col min="11287" max="11287" width="7.7109375" style="1" customWidth="1"/>
    <col min="11288" max="11520" width="9" style="1"/>
    <col min="11521" max="11521" width="3.7109375" style="1" customWidth="1"/>
    <col min="11522" max="11522" width="27.42578125" style="1" customWidth="1"/>
    <col min="11523" max="11524" width="8.28515625" style="1" customWidth="1"/>
    <col min="11525" max="11525" width="7.7109375" style="1" customWidth="1"/>
    <col min="11526" max="11526" width="9" style="1"/>
    <col min="11527" max="11527" width="6" style="1" customWidth="1"/>
    <col min="11528" max="11528" width="10.28515625" style="1" customWidth="1"/>
    <col min="11529" max="11529" width="7.7109375" style="1" customWidth="1"/>
    <col min="11530" max="11530" width="8.140625" style="1" customWidth="1"/>
    <col min="11531" max="11531" width="7.7109375" style="1" customWidth="1"/>
    <col min="11532" max="11532" width="6.28515625" style="1" customWidth="1"/>
    <col min="11533" max="11533" width="8.7109375" style="1" customWidth="1"/>
    <col min="11534" max="11534" width="10.7109375" style="1" customWidth="1"/>
    <col min="11535" max="11535" width="6.28515625" style="1" customWidth="1"/>
    <col min="11536" max="11536" width="7" style="1" customWidth="1"/>
    <col min="11537" max="11537" width="6" style="1" customWidth="1"/>
    <col min="11538" max="11538" width="7.28515625" style="1" customWidth="1"/>
    <col min="11539" max="11539" width="9.85546875" style="1" customWidth="1"/>
    <col min="11540" max="11540" width="9.28515625" style="1" customWidth="1"/>
    <col min="11541" max="11541" width="7.5703125" style="1" customWidth="1"/>
    <col min="11542" max="11542" width="6.28515625" style="1" customWidth="1"/>
    <col min="11543" max="11543" width="7.7109375" style="1" customWidth="1"/>
    <col min="11544" max="11776" width="9" style="1"/>
    <col min="11777" max="11777" width="3.7109375" style="1" customWidth="1"/>
    <col min="11778" max="11778" width="27.42578125" style="1" customWidth="1"/>
    <col min="11779" max="11780" width="8.28515625" style="1" customWidth="1"/>
    <col min="11781" max="11781" width="7.7109375" style="1" customWidth="1"/>
    <col min="11782" max="11782" width="9" style="1"/>
    <col min="11783" max="11783" width="6" style="1" customWidth="1"/>
    <col min="11784" max="11784" width="10.28515625" style="1" customWidth="1"/>
    <col min="11785" max="11785" width="7.7109375" style="1" customWidth="1"/>
    <col min="11786" max="11786" width="8.140625" style="1" customWidth="1"/>
    <col min="11787" max="11787" width="7.7109375" style="1" customWidth="1"/>
    <col min="11788" max="11788" width="6.28515625" style="1" customWidth="1"/>
    <col min="11789" max="11789" width="8.7109375" style="1" customWidth="1"/>
    <col min="11790" max="11790" width="10.7109375" style="1" customWidth="1"/>
    <col min="11791" max="11791" width="6.28515625" style="1" customWidth="1"/>
    <col min="11792" max="11792" width="7" style="1" customWidth="1"/>
    <col min="11793" max="11793" width="6" style="1" customWidth="1"/>
    <col min="11794" max="11794" width="7.28515625" style="1" customWidth="1"/>
    <col min="11795" max="11795" width="9.85546875" style="1" customWidth="1"/>
    <col min="11796" max="11796" width="9.28515625" style="1" customWidth="1"/>
    <col min="11797" max="11797" width="7.5703125" style="1" customWidth="1"/>
    <col min="11798" max="11798" width="6.28515625" style="1" customWidth="1"/>
    <col min="11799" max="11799" width="7.7109375" style="1" customWidth="1"/>
    <col min="11800" max="12032" width="9" style="1"/>
    <col min="12033" max="12033" width="3.7109375" style="1" customWidth="1"/>
    <col min="12034" max="12034" width="27.42578125" style="1" customWidth="1"/>
    <col min="12035" max="12036" width="8.28515625" style="1" customWidth="1"/>
    <col min="12037" max="12037" width="7.7109375" style="1" customWidth="1"/>
    <col min="12038" max="12038" width="9" style="1"/>
    <col min="12039" max="12039" width="6" style="1" customWidth="1"/>
    <col min="12040" max="12040" width="10.28515625" style="1" customWidth="1"/>
    <col min="12041" max="12041" width="7.7109375" style="1" customWidth="1"/>
    <col min="12042" max="12042" width="8.140625" style="1" customWidth="1"/>
    <col min="12043" max="12043" width="7.7109375" style="1" customWidth="1"/>
    <col min="12044" max="12044" width="6.28515625" style="1" customWidth="1"/>
    <col min="12045" max="12045" width="8.7109375" style="1" customWidth="1"/>
    <col min="12046" max="12046" width="10.7109375" style="1" customWidth="1"/>
    <col min="12047" max="12047" width="6.28515625" style="1" customWidth="1"/>
    <col min="12048" max="12048" width="7" style="1" customWidth="1"/>
    <col min="12049" max="12049" width="6" style="1" customWidth="1"/>
    <col min="12050" max="12050" width="7.28515625" style="1" customWidth="1"/>
    <col min="12051" max="12051" width="9.85546875" style="1" customWidth="1"/>
    <col min="12052" max="12052" width="9.28515625" style="1" customWidth="1"/>
    <col min="12053" max="12053" width="7.5703125" style="1" customWidth="1"/>
    <col min="12054" max="12054" width="6.28515625" style="1" customWidth="1"/>
    <col min="12055" max="12055" width="7.7109375" style="1" customWidth="1"/>
    <col min="12056" max="12288" width="9" style="1"/>
    <col min="12289" max="12289" width="3.7109375" style="1" customWidth="1"/>
    <col min="12290" max="12290" width="27.42578125" style="1" customWidth="1"/>
    <col min="12291" max="12292" width="8.28515625" style="1" customWidth="1"/>
    <col min="12293" max="12293" width="7.7109375" style="1" customWidth="1"/>
    <col min="12294" max="12294" width="9" style="1"/>
    <col min="12295" max="12295" width="6" style="1" customWidth="1"/>
    <col min="12296" max="12296" width="10.28515625" style="1" customWidth="1"/>
    <col min="12297" max="12297" width="7.7109375" style="1" customWidth="1"/>
    <col min="12298" max="12298" width="8.140625" style="1" customWidth="1"/>
    <col min="12299" max="12299" width="7.7109375" style="1" customWidth="1"/>
    <col min="12300" max="12300" width="6.28515625" style="1" customWidth="1"/>
    <col min="12301" max="12301" width="8.7109375" style="1" customWidth="1"/>
    <col min="12302" max="12302" width="10.7109375" style="1" customWidth="1"/>
    <col min="12303" max="12303" width="6.28515625" style="1" customWidth="1"/>
    <col min="12304" max="12304" width="7" style="1" customWidth="1"/>
    <col min="12305" max="12305" width="6" style="1" customWidth="1"/>
    <col min="12306" max="12306" width="7.28515625" style="1" customWidth="1"/>
    <col min="12307" max="12307" width="9.85546875" style="1" customWidth="1"/>
    <col min="12308" max="12308" width="9.28515625" style="1" customWidth="1"/>
    <col min="12309" max="12309" width="7.5703125" style="1" customWidth="1"/>
    <col min="12310" max="12310" width="6.28515625" style="1" customWidth="1"/>
    <col min="12311" max="12311" width="7.7109375" style="1" customWidth="1"/>
    <col min="12312" max="12544" width="9" style="1"/>
    <col min="12545" max="12545" width="3.7109375" style="1" customWidth="1"/>
    <col min="12546" max="12546" width="27.42578125" style="1" customWidth="1"/>
    <col min="12547" max="12548" width="8.28515625" style="1" customWidth="1"/>
    <col min="12549" max="12549" width="7.7109375" style="1" customWidth="1"/>
    <col min="12550" max="12550" width="9" style="1"/>
    <col min="12551" max="12551" width="6" style="1" customWidth="1"/>
    <col min="12552" max="12552" width="10.28515625" style="1" customWidth="1"/>
    <col min="12553" max="12553" width="7.7109375" style="1" customWidth="1"/>
    <col min="12554" max="12554" width="8.140625" style="1" customWidth="1"/>
    <col min="12555" max="12555" width="7.7109375" style="1" customWidth="1"/>
    <col min="12556" max="12556" width="6.28515625" style="1" customWidth="1"/>
    <col min="12557" max="12557" width="8.7109375" style="1" customWidth="1"/>
    <col min="12558" max="12558" width="10.7109375" style="1" customWidth="1"/>
    <col min="12559" max="12559" width="6.28515625" style="1" customWidth="1"/>
    <col min="12560" max="12560" width="7" style="1" customWidth="1"/>
    <col min="12561" max="12561" width="6" style="1" customWidth="1"/>
    <col min="12562" max="12562" width="7.28515625" style="1" customWidth="1"/>
    <col min="12563" max="12563" width="9.85546875" style="1" customWidth="1"/>
    <col min="12564" max="12564" width="9.28515625" style="1" customWidth="1"/>
    <col min="12565" max="12565" width="7.5703125" style="1" customWidth="1"/>
    <col min="12566" max="12566" width="6.28515625" style="1" customWidth="1"/>
    <col min="12567" max="12567" width="7.7109375" style="1" customWidth="1"/>
    <col min="12568" max="12800" width="9" style="1"/>
    <col min="12801" max="12801" width="3.7109375" style="1" customWidth="1"/>
    <col min="12802" max="12802" width="27.42578125" style="1" customWidth="1"/>
    <col min="12803" max="12804" width="8.28515625" style="1" customWidth="1"/>
    <col min="12805" max="12805" width="7.7109375" style="1" customWidth="1"/>
    <col min="12806" max="12806" width="9" style="1"/>
    <col min="12807" max="12807" width="6" style="1" customWidth="1"/>
    <col min="12808" max="12808" width="10.28515625" style="1" customWidth="1"/>
    <col min="12809" max="12809" width="7.7109375" style="1" customWidth="1"/>
    <col min="12810" max="12810" width="8.140625" style="1" customWidth="1"/>
    <col min="12811" max="12811" width="7.7109375" style="1" customWidth="1"/>
    <col min="12812" max="12812" width="6.28515625" style="1" customWidth="1"/>
    <col min="12813" max="12813" width="8.7109375" style="1" customWidth="1"/>
    <col min="12814" max="12814" width="10.7109375" style="1" customWidth="1"/>
    <col min="12815" max="12815" width="6.28515625" style="1" customWidth="1"/>
    <col min="12816" max="12816" width="7" style="1" customWidth="1"/>
    <col min="12817" max="12817" width="6" style="1" customWidth="1"/>
    <col min="12818" max="12818" width="7.28515625" style="1" customWidth="1"/>
    <col min="12819" max="12819" width="9.85546875" style="1" customWidth="1"/>
    <col min="12820" max="12820" width="9.28515625" style="1" customWidth="1"/>
    <col min="12821" max="12821" width="7.5703125" style="1" customWidth="1"/>
    <col min="12822" max="12822" width="6.28515625" style="1" customWidth="1"/>
    <col min="12823" max="12823" width="7.7109375" style="1" customWidth="1"/>
    <col min="12824" max="13056" width="9" style="1"/>
    <col min="13057" max="13057" width="3.7109375" style="1" customWidth="1"/>
    <col min="13058" max="13058" width="27.42578125" style="1" customWidth="1"/>
    <col min="13059" max="13060" width="8.28515625" style="1" customWidth="1"/>
    <col min="13061" max="13061" width="7.7109375" style="1" customWidth="1"/>
    <col min="13062" max="13062" width="9" style="1"/>
    <col min="13063" max="13063" width="6" style="1" customWidth="1"/>
    <col min="13064" max="13064" width="10.28515625" style="1" customWidth="1"/>
    <col min="13065" max="13065" width="7.7109375" style="1" customWidth="1"/>
    <col min="13066" max="13066" width="8.140625" style="1" customWidth="1"/>
    <col min="13067" max="13067" width="7.7109375" style="1" customWidth="1"/>
    <col min="13068" max="13068" width="6.28515625" style="1" customWidth="1"/>
    <col min="13069" max="13069" width="8.7109375" style="1" customWidth="1"/>
    <col min="13070" max="13070" width="10.7109375" style="1" customWidth="1"/>
    <col min="13071" max="13071" width="6.28515625" style="1" customWidth="1"/>
    <col min="13072" max="13072" width="7" style="1" customWidth="1"/>
    <col min="13073" max="13073" width="6" style="1" customWidth="1"/>
    <col min="13074" max="13074" width="7.28515625" style="1" customWidth="1"/>
    <col min="13075" max="13075" width="9.85546875" style="1" customWidth="1"/>
    <col min="13076" max="13076" width="9.28515625" style="1" customWidth="1"/>
    <col min="13077" max="13077" width="7.5703125" style="1" customWidth="1"/>
    <col min="13078" max="13078" width="6.28515625" style="1" customWidth="1"/>
    <col min="13079" max="13079" width="7.7109375" style="1" customWidth="1"/>
    <col min="13080" max="13312" width="9" style="1"/>
    <col min="13313" max="13313" width="3.7109375" style="1" customWidth="1"/>
    <col min="13314" max="13314" width="27.42578125" style="1" customWidth="1"/>
    <col min="13315" max="13316" width="8.28515625" style="1" customWidth="1"/>
    <col min="13317" max="13317" width="7.7109375" style="1" customWidth="1"/>
    <col min="13318" max="13318" width="9" style="1"/>
    <col min="13319" max="13319" width="6" style="1" customWidth="1"/>
    <col min="13320" max="13320" width="10.28515625" style="1" customWidth="1"/>
    <col min="13321" max="13321" width="7.7109375" style="1" customWidth="1"/>
    <col min="13322" max="13322" width="8.140625" style="1" customWidth="1"/>
    <col min="13323" max="13323" width="7.7109375" style="1" customWidth="1"/>
    <col min="13324" max="13324" width="6.28515625" style="1" customWidth="1"/>
    <col min="13325" max="13325" width="8.7109375" style="1" customWidth="1"/>
    <col min="13326" max="13326" width="10.7109375" style="1" customWidth="1"/>
    <col min="13327" max="13327" width="6.28515625" style="1" customWidth="1"/>
    <col min="13328" max="13328" width="7" style="1" customWidth="1"/>
    <col min="13329" max="13329" width="6" style="1" customWidth="1"/>
    <col min="13330" max="13330" width="7.28515625" style="1" customWidth="1"/>
    <col min="13331" max="13331" width="9.85546875" style="1" customWidth="1"/>
    <col min="13332" max="13332" width="9.28515625" style="1" customWidth="1"/>
    <col min="13333" max="13333" width="7.5703125" style="1" customWidth="1"/>
    <col min="13334" max="13334" width="6.28515625" style="1" customWidth="1"/>
    <col min="13335" max="13335" width="7.7109375" style="1" customWidth="1"/>
    <col min="13336" max="13568" width="9" style="1"/>
    <col min="13569" max="13569" width="3.7109375" style="1" customWidth="1"/>
    <col min="13570" max="13570" width="27.42578125" style="1" customWidth="1"/>
    <col min="13571" max="13572" width="8.28515625" style="1" customWidth="1"/>
    <col min="13573" max="13573" width="7.7109375" style="1" customWidth="1"/>
    <col min="13574" max="13574" width="9" style="1"/>
    <col min="13575" max="13575" width="6" style="1" customWidth="1"/>
    <col min="13576" max="13576" width="10.28515625" style="1" customWidth="1"/>
    <col min="13577" max="13577" width="7.7109375" style="1" customWidth="1"/>
    <col min="13578" max="13578" width="8.140625" style="1" customWidth="1"/>
    <col min="13579" max="13579" width="7.7109375" style="1" customWidth="1"/>
    <col min="13580" max="13580" width="6.28515625" style="1" customWidth="1"/>
    <col min="13581" max="13581" width="8.7109375" style="1" customWidth="1"/>
    <col min="13582" max="13582" width="10.7109375" style="1" customWidth="1"/>
    <col min="13583" max="13583" width="6.28515625" style="1" customWidth="1"/>
    <col min="13584" max="13584" width="7" style="1" customWidth="1"/>
    <col min="13585" max="13585" width="6" style="1" customWidth="1"/>
    <col min="13586" max="13586" width="7.28515625" style="1" customWidth="1"/>
    <col min="13587" max="13587" width="9.85546875" style="1" customWidth="1"/>
    <col min="13588" max="13588" width="9.28515625" style="1" customWidth="1"/>
    <col min="13589" max="13589" width="7.5703125" style="1" customWidth="1"/>
    <col min="13590" max="13590" width="6.28515625" style="1" customWidth="1"/>
    <col min="13591" max="13591" width="7.7109375" style="1" customWidth="1"/>
    <col min="13592" max="13824" width="9" style="1"/>
    <col min="13825" max="13825" width="3.7109375" style="1" customWidth="1"/>
    <col min="13826" max="13826" width="27.42578125" style="1" customWidth="1"/>
    <col min="13827" max="13828" width="8.28515625" style="1" customWidth="1"/>
    <col min="13829" max="13829" width="7.7109375" style="1" customWidth="1"/>
    <col min="13830" max="13830" width="9" style="1"/>
    <col min="13831" max="13831" width="6" style="1" customWidth="1"/>
    <col min="13832" max="13832" width="10.28515625" style="1" customWidth="1"/>
    <col min="13833" max="13833" width="7.7109375" style="1" customWidth="1"/>
    <col min="13834" max="13834" width="8.140625" style="1" customWidth="1"/>
    <col min="13835" max="13835" width="7.7109375" style="1" customWidth="1"/>
    <col min="13836" max="13836" width="6.28515625" style="1" customWidth="1"/>
    <col min="13837" max="13837" width="8.7109375" style="1" customWidth="1"/>
    <col min="13838" max="13838" width="10.7109375" style="1" customWidth="1"/>
    <col min="13839" max="13839" width="6.28515625" style="1" customWidth="1"/>
    <col min="13840" max="13840" width="7" style="1" customWidth="1"/>
    <col min="13841" max="13841" width="6" style="1" customWidth="1"/>
    <col min="13842" max="13842" width="7.28515625" style="1" customWidth="1"/>
    <col min="13843" max="13843" width="9.85546875" style="1" customWidth="1"/>
    <col min="13844" max="13844" width="9.28515625" style="1" customWidth="1"/>
    <col min="13845" max="13845" width="7.5703125" style="1" customWidth="1"/>
    <col min="13846" max="13846" width="6.28515625" style="1" customWidth="1"/>
    <col min="13847" max="13847" width="7.7109375" style="1" customWidth="1"/>
    <col min="13848" max="14080" width="9" style="1"/>
    <col min="14081" max="14081" width="3.7109375" style="1" customWidth="1"/>
    <col min="14082" max="14082" width="27.42578125" style="1" customWidth="1"/>
    <col min="14083" max="14084" width="8.28515625" style="1" customWidth="1"/>
    <col min="14085" max="14085" width="7.7109375" style="1" customWidth="1"/>
    <col min="14086" max="14086" width="9" style="1"/>
    <col min="14087" max="14087" width="6" style="1" customWidth="1"/>
    <col min="14088" max="14088" width="10.28515625" style="1" customWidth="1"/>
    <col min="14089" max="14089" width="7.7109375" style="1" customWidth="1"/>
    <col min="14090" max="14090" width="8.140625" style="1" customWidth="1"/>
    <col min="14091" max="14091" width="7.7109375" style="1" customWidth="1"/>
    <col min="14092" max="14092" width="6.28515625" style="1" customWidth="1"/>
    <col min="14093" max="14093" width="8.7109375" style="1" customWidth="1"/>
    <col min="14094" max="14094" width="10.7109375" style="1" customWidth="1"/>
    <col min="14095" max="14095" width="6.28515625" style="1" customWidth="1"/>
    <col min="14096" max="14096" width="7" style="1" customWidth="1"/>
    <col min="14097" max="14097" width="6" style="1" customWidth="1"/>
    <col min="14098" max="14098" width="7.28515625" style="1" customWidth="1"/>
    <col min="14099" max="14099" width="9.85546875" style="1" customWidth="1"/>
    <col min="14100" max="14100" width="9.28515625" style="1" customWidth="1"/>
    <col min="14101" max="14101" width="7.5703125" style="1" customWidth="1"/>
    <col min="14102" max="14102" width="6.28515625" style="1" customWidth="1"/>
    <col min="14103" max="14103" width="7.7109375" style="1" customWidth="1"/>
    <col min="14104" max="14336" width="9" style="1"/>
    <col min="14337" max="14337" width="3.7109375" style="1" customWidth="1"/>
    <col min="14338" max="14338" width="27.42578125" style="1" customWidth="1"/>
    <col min="14339" max="14340" width="8.28515625" style="1" customWidth="1"/>
    <col min="14341" max="14341" width="7.7109375" style="1" customWidth="1"/>
    <col min="14342" max="14342" width="9" style="1"/>
    <col min="14343" max="14343" width="6" style="1" customWidth="1"/>
    <col min="14344" max="14344" width="10.28515625" style="1" customWidth="1"/>
    <col min="14345" max="14345" width="7.7109375" style="1" customWidth="1"/>
    <col min="14346" max="14346" width="8.140625" style="1" customWidth="1"/>
    <col min="14347" max="14347" width="7.7109375" style="1" customWidth="1"/>
    <col min="14348" max="14348" width="6.28515625" style="1" customWidth="1"/>
    <col min="14349" max="14349" width="8.7109375" style="1" customWidth="1"/>
    <col min="14350" max="14350" width="10.7109375" style="1" customWidth="1"/>
    <col min="14351" max="14351" width="6.28515625" style="1" customWidth="1"/>
    <col min="14352" max="14352" width="7" style="1" customWidth="1"/>
    <col min="14353" max="14353" width="6" style="1" customWidth="1"/>
    <col min="14354" max="14354" width="7.28515625" style="1" customWidth="1"/>
    <col min="14355" max="14355" width="9.85546875" style="1" customWidth="1"/>
    <col min="14356" max="14356" width="9.28515625" style="1" customWidth="1"/>
    <col min="14357" max="14357" width="7.5703125" style="1" customWidth="1"/>
    <col min="14358" max="14358" width="6.28515625" style="1" customWidth="1"/>
    <col min="14359" max="14359" width="7.7109375" style="1" customWidth="1"/>
    <col min="14360" max="14592" width="9" style="1"/>
    <col min="14593" max="14593" width="3.7109375" style="1" customWidth="1"/>
    <col min="14594" max="14594" width="27.42578125" style="1" customWidth="1"/>
    <col min="14595" max="14596" width="8.28515625" style="1" customWidth="1"/>
    <col min="14597" max="14597" width="7.7109375" style="1" customWidth="1"/>
    <col min="14598" max="14598" width="9" style="1"/>
    <col min="14599" max="14599" width="6" style="1" customWidth="1"/>
    <col min="14600" max="14600" width="10.28515625" style="1" customWidth="1"/>
    <col min="14601" max="14601" width="7.7109375" style="1" customWidth="1"/>
    <col min="14602" max="14602" width="8.140625" style="1" customWidth="1"/>
    <col min="14603" max="14603" width="7.7109375" style="1" customWidth="1"/>
    <col min="14604" max="14604" width="6.28515625" style="1" customWidth="1"/>
    <col min="14605" max="14605" width="8.7109375" style="1" customWidth="1"/>
    <col min="14606" max="14606" width="10.7109375" style="1" customWidth="1"/>
    <col min="14607" max="14607" width="6.28515625" style="1" customWidth="1"/>
    <col min="14608" max="14608" width="7" style="1" customWidth="1"/>
    <col min="14609" max="14609" width="6" style="1" customWidth="1"/>
    <col min="14610" max="14610" width="7.28515625" style="1" customWidth="1"/>
    <col min="14611" max="14611" width="9.85546875" style="1" customWidth="1"/>
    <col min="14612" max="14612" width="9.28515625" style="1" customWidth="1"/>
    <col min="14613" max="14613" width="7.5703125" style="1" customWidth="1"/>
    <col min="14614" max="14614" width="6.28515625" style="1" customWidth="1"/>
    <col min="14615" max="14615" width="7.7109375" style="1" customWidth="1"/>
    <col min="14616" max="14848" width="9" style="1"/>
    <col min="14849" max="14849" width="3.7109375" style="1" customWidth="1"/>
    <col min="14850" max="14850" width="27.42578125" style="1" customWidth="1"/>
    <col min="14851" max="14852" width="8.28515625" style="1" customWidth="1"/>
    <col min="14853" max="14853" width="7.7109375" style="1" customWidth="1"/>
    <col min="14854" max="14854" width="9" style="1"/>
    <col min="14855" max="14855" width="6" style="1" customWidth="1"/>
    <col min="14856" max="14856" width="10.28515625" style="1" customWidth="1"/>
    <col min="14857" max="14857" width="7.7109375" style="1" customWidth="1"/>
    <col min="14858" max="14858" width="8.140625" style="1" customWidth="1"/>
    <col min="14859" max="14859" width="7.7109375" style="1" customWidth="1"/>
    <col min="14860" max="14860" width="6.28515625" style="1" customWidth="1"/>
    <col min="14861" max="14861" width="8.7109375" style="1" customWidth="1"/>
    <col min="14862" max="14862" width="10.7109375" style="1" customWidth="1"/>
    <col min="14863" max="14863" width="6.28515625" style="1" customWidth="1"/>
    <col min="14864" max="14864" width="7" style="1" customWidth="1"/>
    <col min="14865" max="14865" width="6" style="1" customWidth="1"/>
    <col min="14866" max="14866" width="7.28515625" style="1" customWidth="1"/>
    <col min="14867" max="14867" width="9.85546875" style="1" customWidth="1"/>
    <col min="14868" max="14868" width="9.28515625" style="1" customWidth="1"/>
    <col min="14869" max="14869" width="7.5703125" style="1" customWidth="1"/>
    <col min="14870" max="14870" width="6.28515625" style="1" customWidth="1"/>
    <col min="14871" max="14871" width="7.7109375" style="1" customWidth="1"/>
    <col min="14872" max="15104" width="9" style="1"/>
    <col min="15105" max="15105" width="3.7109375" style="1" customWidth="1"/>
    <col min="15106" max="15106" width="27.42578125" style="1" customWidth="1"/>
    <col min="15107" max="15108" width="8.28515625" style="1" customWidth="1"/>
    <col min="15109" max="15109" width="7.7109375" style="1" customWidth="1"/>
    <col min="15110" max="15110" width="9" style="1"/>
    <col min="15111" max="15111" width="6" style="1" customWidth="1"/>
    <col min="15112" max="15112" width="10.28515625" style="1" customWidth="1"/>
    <col min="15113" max="15113" width="7.7109375" style="1" customWidth="1"/>
    <col min="15114" max="15114" width="8.140625" style="1" customWidth="1"/>
    <col min="15115" max="15115" width="7.7109375" style="1" customWidth="1"/>
    <col min="15116" max="15116" width="6.28515625" style="1" customWidth="1"/>
    <col min="15117" max="15117" width="8.7109375" style="1" customWidth="1"/>
    <col min="15118" max="15118" width="10.7109375" style="1" customWidth="1"/>
    <col min="15119" max="15119" width="6.28515625" style="1" customWidth="1"/>
    <col min="15120" max="15120" width="7" style="1" customWidth="1"/>
    <col min="15121" max="15121" width="6" style="1" customWidth="1"/>
    <col min="15122" max="15122" width="7.28515625" style="1" customWidth="1"/>
    <col min="15123" max="15123" width="9.85546875" style="1" customWidth="1"/>
    <col min="15124" max="15124" width="9.28515625" style="1" customWidth="1"/>
    <col min="15125" max="15125" width="7.5703125" style="1" customWidth="1"/>
    <col min="15126" max="15126" width="6.28515625" style="1" customWidth="1"/>
    <col min="15127" max="15127" width="7.7109375" style="1" customWidth="1"/>
    <col min="15128" max="15360" width="9" style="1"/>
    <col min="15361" max="15361" width="3.7109375" style="1" customWidth="1"/>
    <col min="15362" max="15362" width="27.42578125" style="1" customWidth="1"/>
    <col min="15363" max="15364" width="8.28515625" style="1" customWidth="1"/>
    <col min="15365" max="15365" width="7.7109375" style="1" customWidth="1"/>
    <col min="15366" max="15366" width="9" style="1"/>
    <col min="15367" max="15367" width="6" style="1" customWidth="1"/>
    <col min="15368" max="15368" width="10.28515625" style="1" customWidth="1"/>
    <col min="15369" max="15369" width="7.7109375" style="1" customWidth="1"/>
    <col min="15370" max="15370" width="8.140625" style="1" customWidth="1"/>
    <col min="15371" max="15371" width="7.7109375" style="1" customWidth="1"/>
    <col min="15372" max="15372" width="6.28515625" style="1" customWidth="1"/>
    <col min="15373" max="15373" width="8.7109375" style="1" customWidth="1"/>
    <col min="15374" max="15374" width="10.7109375" style="1" customWidth="1"/>
    <col min="15375" max="15375" width="6.28515625" style="1" customWidth="1"/>
    <col min="15376" max="15376" width="7" style="1" customWidth="1"/>
    <col min="15377" max="15377" width="6" style="1" customWidth="1"/>
    <col min="15378" max="15378" width="7.28515625" style="1" customWidth="1"/>
    <col min="15379" max="15379" width="9.85546875" style="1" customWidth="1"/>
    <col min="15380" max="15380" width="9.28515625" style="1" customWidth="1"/>
    <col min="15381" max="15381" width="7.5703125" style="1" customWidth="1"/>
    <col min="15382" max="15382" width="6.28515625" style="1" customWidth="1"/>
    <col min="15383" max="15383" width="7.7109375" style="1" customWidth="1"/>
    <col min="15384" max="15616" width="9" style="1"/>
    <col min="15617" max="15617" width="3.7109375" style="1" customWidth="1"/>
    <col min="15618" max="15618" width="27.42578125" style="1" customWidth="1"/>
    <col min="15619" max="15620" width="8.28515625" style="1" customWidth="1"/>
    <col min="15621" max="15621" width="7.7109375" style="1" customWidth="1"/>
    <col min="15622" max="15622" width="9" style="1"/>
    <col min="15623" max="15623" width="6" style="1" customWidth="1"/>
    <col min="15624" max="15624" width="10.28515625" style="1" customWidth="1"/>
    <col min="15625" max="15625" width="7.7109375" style="1" customWidth="1"/>
    <col min="15626" max="15626" width="8.140625" style="1" customWidth="1"/>
    <col min="15627" max="15627" width="7.7109375" style="1" customWidth="1"/>
    <col min="15628" max="15628" width="6.28515625" style="1" customWidth="1"/>
    <col min="15629" max="15629" width="8.7109375" style="1" customWidth="1"/>
    <col min="15630" max="15630" width="10.7109375" style="1" customWidth="1"/>
    <col min="15631" max="15631" width="6.28515625" style="1" customWidth="1"/>
    <col min="15632" max="15632" width="7" style="1" customWidth="1"/>
    <col min="15633" max="15633" width="6" style="1" customWidth="1"/>
    <col min="15634" max="15634" width="7.28515625" style="1" customWidth="1"/>
    <col min="15635" max="15635" width="9.85546875" style="1" customWidth="1"/>
    <col min="15636" max="15636" width="9.28515625" style="1" customWidth="1"/>
    <col min="15637" max="15637" width="7.5703125" style="1" customWidth="1"/>
    <col min="15638" max="15638" width="6.28515625" style="1" customWidth="1"/>
    <col min="15639" max="15639" width="7.7109375" style="1" customWidth="1"/>
    <col min="15640" max="15872" width="9" style="1"/>
    <col min="15873" max="15873" width="3.7109375" style="1" customWidth="1"/>
    <col min="15874" max="15874" width="27.42578125" style="1" customWidth="1"/>
    <col min="15875" max="15876" width="8.28515625" style="1" customWidth="1"/>
    <col min="15877" max="15877" width="7.7109375" style="1" customWidth="1"/>
    <col min="15878" max="15878" width="9" style="1"/>
    <col min="15879" max="15879" width="6" style="1" customWidth="1"/>
    <col min="15880" max="15880" width="10.28515625" style="1" customWidth="1"/>
    <col min="15881" max="15881" width="7.7109375" style="1" customWidth="1"/>
    <col min="15882" max="15882" width="8.140625" style="1" customWidth="1"/>
    <col min="15883" max="15883" width="7.7109375" style="1" customWidth="1"/>
    <col min="15884" max="15884" width="6.28515625" style="1" customWidth="1"/>
    <col min="15885" max="15885" width="8.7109375" style="1" customWidth="1"/>
    <col min="15886" max="15886" width="10.7109375" style="1" customWidth="1"/>
    <col min="15887" max="15887" width="6.28515625" style="1" customWidth="1"/>
    <col min="15888" max="15888" width="7" style="1" customWidth="1"/>
    <col min="15889" max="15889" width="6" style="1" customWidth="1"/>
    <col min="15890" max="15890" width="7.28515625" style="1" customWidth="1"/>
    <col min="15891" max="15891" width="9.85546875" style="1" customWidth="1"/>
    <col min="15892" max="15892" width="9.28515625" style="1" customWidth="1"/>
    <col min="15893" max="15893" width="7.5703125" style="1" customWidth="1"/>
    <col min="15894" max="15894" width="6.28515625" style="1" customWidth="1"/>
    <col min="15895" max="15895" width="7.7109375" style="1" customWidth="1"/>
    <col min="15896" max="16128" width="9" style="1"/>
    <col min="16129" max="16129" width="3.7109375" style="1" customWidth="1"/>
    <col min="16130" max="16130" width="27.42578125" style="1" customWidth="1"/>
    <col min="16131" max="16132" width="8.28515625" style="1" customWidth="1"/>
    <col min="16133" max="16133" width="7.7109375" style="1" customWidth="1"/>
    <col min="16134" max="16134" width="9" style="1"/>
    <col min="16135" max="16135" width="6" style="1" customWidth="1"/>
    <col min="16136" max="16136" width="10.28515625" style="1" customWidth="1"/>
    <col min="16137" max="16137" width="7.7109375" style="1" customWidth="1"/>
    <col min="16138" max="16138" width="8.140625" style="1" customWidth="1"/>
    <col min="16139" max="16139" width="7.7109375" style="1" customWidth="1"/>
    <col min="16140" max="16140" width="6.28515625" style="1" customWidth="1"/>
    <col min="16141" max="16141" width="8.7109375" style="1" customWidth="1"/>
    <col min="16142" max="16142" width="10.7109375" style="1" customWidth="1"/>
    <col min="16143" max="16143" width="6.28515625" style="1" customWidth="1"/>
    <col min="16144" max="16144" width="7" style="1" customWidth="1"/>
    <col min="16145" max="16145" width="6" style="1" customWidth="1"/>
    <col min="16146" max="16146" width="7.28515625" style="1" customWidth="1"/>
    <col min="16147" max="16147" width="9.85546875" style="1" customWidth="1"/>
    <col min="16148" max="16148" width="9.28515625" style="1" customWidth="1"/>
    <col min="16149" max="16149" width="7.5703125" style="1" customWidth="1"/>
    <col min="16150" max="16150" width="6.28515625" style="1" customWidth="1"/>
    <col min="16151" max="16151" width="7.7109375" style="1" customWidth="1"/>
    <col min="16152" max="16384" width="9" style="1"/>
  </cols>
  <sheetData>
    <row r="1" spans="1:28" x14ac:dyDescent="0.2">
      <c r="V1" s="171" t="s">
        <v>326</v>
      </c>
      <c r="W1" s="171"/>
      <c r="X1" s="171"/>
      <c r="Y1" s="171"/>
    </row>
    <row r="2" spans="1:28" s="5" customFormat="1" x14ac:dyDescent="0.2">
      <c r="B2" s="93"/>
      <c r="C2" s="94" t="s">
        <v>297</v>
      </c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1"/>
      <c r="V2" s="1"/>
      <c r="W2" s="1"/>
      <c r="X2" s="1"/>
      <c r="Y2" s="1"/>
    </row>
    <row r="3" spans="1:28" ht="13.5" thickBot="1" x14ac:dyDescent="0.25">
      <c r="B3" s="93"/>
      <c r="C3" s="94"/>
      <c r="D3" s="94"/>
      <c r="E3" s="94"/>
      <c r="F3" s="94" t="s">
        <v>298</v>
      </c>
      <c r="G3" s="94"/>
      <c r="H3" s="94"/>
      <c r="I3" s="94"/>
      <c r="J3" s="94"/>
      <c r="K3" s="94"/>
      <c r="L3" s="94"/>
      <c r="M3" s="95"/>
      <c r="N3" s="94"/>
      <c r="O3" s="94"/>
      <c r="P3" s="94"/>
      <c r="Q3" s="95"/>
      <c r="R3" s="95"/>
      <c r="S3" s="95"/>
      <c r="T3" s="95"/>
      <c r="X3" s="1"/>
      <c r="Y3" s="96" t="s">
        <v>58</v>
      </c>
    </row>
    <row r="4" spans="1:28" s="68" customFormat="1" x14ac:dyDescent="0.2">
      <c r="A4" s="184" t="s">
        <v>43</v>
      </c>
      <c r="B4" s="97"/>
      <c r="C4" s="98" t="s">
        <v>299</v>
      </c>
      <c r="D4" s="99" t="s">
        <v>146</v>
      </c>
      <c r="E4" s="98" t="s">
        <v>147</v>
      </c>
      <c r="F4" s="98" t="s">
        <v>90</v>
      </c>
      <c r="G4" s="98" t="s">
        <v>148</v>
      </c>
      <c r="H4" s="98" t="s">
        <v>149</v>
      </c>
      <c r="I4" s="98" t="s">
        <v>150</v>
      </c>
      <c r="J4" s="100" t="s">
        <v>151</v>
      </c>
      <c r="K4" s="98" t="s">
        <v>152</v>
      </c>
      <c r="L4" s="98" t="s">
        <v>153</v>
      </c>
      <c r="M4" s="97" t="s">
        <v>154</v>
      </c>
      <c r="N4" s="97" t="s">
        <v>155</v>
      </c>
      <c r="O4" s="101" t="s">
        <v>156</v>
      </c>
      <c r="P4" s="185" t="s">
        <v>157</v>
      </c>
      <c r="Q4" s="186"/>
      <c r="R4" s="186"/>
      <c r="S4" s="187"/>
      <c r="T4" s="99" t="s">
        <v>158</v>
      </c>
      <c r="U4" s="98" t="s">
        <v>159</v>
      </c>
      <c r="V4" s="98" t="s">
        <v>160</v>
      </c>
      <c r="W4" s="188" t="s">
        <v>161</v>
      </c>
      <c r="X4" s="189"/>
      <c r="Y4" s="98" t="s">
        <v>162</v>
      </c>
    </row>
    <row r="5" spans="1:28" s="68" customFormat="1" ht="13.5" customHeight="1" x14ac:dyDescent="0.2">
      <c r="A5" s="184"/>
      <c r="B5" s="102"/>
      <c r="C5" s="103"/>
      <c r="D5" s="104" t="s">
        <v>164</v>
      </c>
      <c r="E5" s="103" t="s">
        <v>165</v>
      </c>
      <c r="F5" s="103" t="s">
        <v>166</v>
      </c>
      <c r="G5" s="105"/>
      <c r="H5" s="103" t="s">
        <v>167</v>
      </c>
      <c r="I5" s="106" t="s">
        <v>168</v>
      </c>
      <c r="J5" s="107" t="s">
        <v>169</v>
      </c>
      <c r="K5" s="103" t="s">
        <v>170</v>
      </c>
      <c r="L5" s="103" t="s">
        <v>171</v>
      </c>
      <c r="M5" s="102" t="s">
        <v>172</v>
      </c>
      <c r="N5" s="102" t="s">
        <v>173</v>
      </c>
      <c r="O5" s="108" t="s">
        <v>174</v>
      </c>
      <c r="P5" s="109" t="s">
        <v>175</v>
      </c>
      <c r="Q5" s="98" t="s">
        <v>176</v>
      </c>
      <c r="R5" s="98" t="s">
        <v>177</v>
      </c>
      <c r="S5" s="110" t="s">
        <v>178</v>
      </c>
      <c r="T5" s="104" t="s">
        <v>179</v>
      </c>
      <c r="U5" s="103" t="s">
        <v>180</v>
      </c>
      <c r="V5" s="103"/>
      <c r="W5" s="190"/>
      <c r="X5" s="191"/>
      <c r="Y5" s="103"/>
    </row>
    <row r="6" spans="1:28" x14ac:dyDescent="0.2">
      <c r="A6" s="184"/>
      <c r="B6" s="111" t="s">
        <v>181</v>
      </c>
      <c r="C6" s="103" t="s">
        <v>163</v>
      </c>
      <c r="D6" s="112"/>
      <c r="E6" s="102"/>
      <c r="F6" s="102"/>
      <c r="G6" s="102"/>
      <c r="H6" s="113" t="s">
        <v>183</v>
      </c>
      <c r="I6" s="103" t="s">
        <v>184</v>
      </c>
      <c r="J6" s="102" t="s">
        <v>185</v>
      </c>
      <c r="K6" s="102" t="s">
        <v>186</v>
      </c>
      <c r="L6" s="103"/>
      <c r="M6" s="102" t="s">
        <v>187</v>
      </c>
      <c r="N6" s="102" t="s">
        <v>188</v>
      </c>
      <c r="O6" s="108" t="s">
        <v>189</v>
      </c>
      <c r="P6" s="114" t="s">
        <v>190</v>
      </c>
      <c r="Q6" s="102"/>
      <c r="R6" s="103" t="s">
        <v>191</v>
      </c>
      <c r="S6" s="115" t="s">
        <v>300</v>
      </c>
      <c r="T6" s="104" t="s">
        <v>180</v>
      </c>
      <c r="U6" s="103" t="s">
        <v>192</v>
      </c>
      <c r="V6" s="103"/>
      <c r="W6" s="116" t="s">
        <v>301</v>
      </c>
      <c r="X6" s="117">
        <v>1</v>
      </c>
      <c r="Y6" s="103"/>
    </row>
    <row r="7" spans="1:28" ht="15.75" customHeight="1" thickBot="1" x14ac:dyDescent="0.25">
      <c r="A7" s="184"/>
      <c r="B7" s="168"/>
      <c r="C7" s="103" t="s">
        <v>182</v>
      </c>
      <c r="D7" s="112"/>
      <c r="E7" s="102"/>
      <c r="F7" s="102"/>
      <c r="G7" s="103"/>
      <c r="H7" s="113" t="s">
        <v>192</v>
      </c>
      <c r="I7" s="103"/>
      <c r="J7" s="107" t="s">
        <v>192</v>
      </c>
      <c r="K7" s="102" t="s">
        <v>193</v>
      </c>
      <c r="L7" s="103"/>
      <c r="M7" s="102" t="s">
        <v>194</v>
      </c>
      <c r="N7" s="102" t="s">
        <v>195</v>
      </c>
      <c r="O7" s="108"/>
      <c r="P7" s="118"/>
      <c r="Q7" s="119"/>
      <c r="R7" s="120"/>
      <c r="S7" s="121"/>
      <c r="T7" s="104" t="s">
        <v>192</v>
      </c>
      <c r="U7" s="103"/>
      <c r="V7" s="103"/>
      <c r="W7" s="169" t="s">
        <v>166</v>
      </c>
      <c r="X7" s="170" t="s">
        <v>302</v>
      </c>
      <c r="Y7" s="103"/>
    </row>
    <row r="8" spans="1:28" x14ac:dyDescent="0.2">
      <c r="A8" s="122">
        <v>1</v>
      </c>
      <c r="B8" s="122">
        <v>2</v>
      </c>
      <c r="C8" s="123">
        <v>3</v>
      </c>
      <c r="D8" s="123">
        <v>4</v>
      </c>
      <c r="E8" s="123">
        <v>5</v>
      </c>
      <c r="F8" s="123">
        <v>6</v>
      </c>
      <c r="G8" s="24">
        <v>7</v>
      </c>
      <c r="H8" s="24">
        <v>8</v>
      </c>
      <c r="I8" s="24">
        <v>9</v>
      </c>
      <c r="J8" s="124">
        <v>10</v>
      </c>
      <c r="K8" s="24">
        <v>11</v>
      </c>
      <c r="L8" s="24">
        <v>12</v>
      </c>
      <c r="M8" s="24">
        <v>13</v>
      </c>
      <c r="N8" s="24">
        <v>14</v>
      </c>
      <c r="O8" s="24">
        <v>15</v>
      </c>
      <c r="P8" s="125">
        <v>16</v>
      </c>
      <c r="Q8" s="125">
        <v>17</v>
      </c>
      <c r="R8" s="125">
        <v>18</v>
      </c>
      <c r="S8" s="125">
        <v>19</v>
      </c>
      <c r="T8" s="24">
        <v>20</v>
      </c>
      <c r="U8" s="24">
        <v>21</v>
      </c>
      <c r="V8" s="24">
        <v>22</v>
      </c>
      <c r="W8" s="24">
        <v>23</v>
      </c>
      <c r="X8" s="24">
        <v>24</v>
      </c>
      <c r="Y8" s="24">
        <v>25</v>
      </c>
    </row>
    <row r="9" spans="1:28" x14ac:dyDescent="0.2">
      <c r="A9" s="126">
        <v>1</v>
      </c>
      <c r="B9" s="127" t="s">
        <v>196</v>
      </c>
      <c r="C9" s="128">
        <f>+D9+E9+F9</f>
        <v>605.19999999999993</v>
      </c>
      <c r="D9" s="17">
        <v>542.29999999999995</v>
      </c>
      <c r="E9" s="6">
        <v>7.9</v>
      </c>
      <c r="F9" s="128">
        <f>SUM(G9:Y9)</f>
        <v>55.000000000000007</v>
      </c>
      <c r="G9" s="128"/>
      <c r="H9" s="128">
        <v>0.5</v>
      </c>
      <c r="I9" s="128">
        <v>1.1000000000000001</v>
      </c>
      <c r="J9" s="128">
        <v>0.3</v>
      </c>
      <c r="K9" s="128">
        <v>0.5</v>
      </c>
      <c r="L9" s="128">
        <v>0.1</v>
      </c>
      <c r="M9" s="128"/>
      <c r="N9" s="128">
        <v>4.4000000000000004</v>
      </c>
      <c r="O9" s="128">
        <f>+ROUND(D9*0.15/100,1)</f>
        <v>0.8</v>
      </c>
      <c r="P9" s="128">
        <v>20.3</v>
      </c>
      <c r="Q9" s="128">
        <v>5.7</v>
      </c>
      <c r="R9" s="128">
        <v>4</v>
      </c>
      <c r="S9" s="128">
        <v>3.6</v>
      </c>
      <c r="T9" s="128">
        <v>0.7</v>
      </c>
      <c r="U9" s="128">
        <f>6+0.3</f>
        <v>6.3</v>
      </c>
      <c r="V9" s="128"/>
      <c r="W9" s="128">
        <v>1.2</v>
      </c>
      <c r="X9" s="6">
        <v>5.5</v>
      </c>
      <c r="Y9" s="128"/>
    </row>
    <row r="10" spans="1:28" s="5" customFormat="1" x14ac:dyDescent="0.2">
      <c r="A10" s="126">
        <v>2</v>
      </c>
      <c r="B10" s="127" t="s">
        <v>197</v>
      </c>
      <c r="C10" s="128">
        <f t="shared" ref="C10:C16" si="0">+D10+E10+F10</f>
        <v>606.40000000000009</v>
      </c>
      <c r="D10" s="17">
        <v>545.20000000000005</v>
      </c>
      <c r="E10" s="6">
        <v>8</v>
      </c>
      <c r="F10" s="128">
        <f t="shared" ref="F10:F16" si="1">SUM(G10:Y10)</f>
        <v>53.199999999999996</v>
      </c>
      <c r="G10" s="9"/>
      <c r="H10" s="128">
        <v>0.5</v>
      </c>
      <c r="I10" s="129">
        <v>1.1000000000000001</v>
      </c>
      <c r="J10" s="129">
        <v>0.3</v>
      </c>
      <c r="K10" s="128">
        <v>0.6</v>
      </c>
      <c r="L10" s="128">
        <v>0.1</v>
      </c>
      <c r="M10" s="128"/>
      <c r="N10" s="128">
        <v>4.0999999999999996</v>
      </c>
      <c r="O10" s="128">
        <f t="shared" ref="O10:O16" si="2">+ROUND(D10*0.15/100,1)</f>
        <v>0.8</v>
      </c>
      <c r="P10" s="128">
        <v>17</v>
      </c>
      <c r="Q10" s="128">
        <v>6.5</v>
      </c>
      <c r="R10" s="128">
        <v>4.5</v>
      </c>
      <c r="S10" s="128">
        <v>3.5</v>
      </c>
      <c r="T10" s="128">
        <v>0.8</v>
      </c>
      <c r="U10" s="128">
        <f>0.3+7.2</f>
        <v>7.5</v>
      </c>
      <c r="V10" s="128"/>
      <c r="W10" s="128">
        <v>0.4</v>
      </c>
      <c r="X10" s="6">
        <v>5.5</v>
      </c>
      <c r="Y10" s="128"/>
      <c r="Z10" s="130"/>
      <c r="AA10" s="130"/>
      <c r="AB10" s="130"/>
    </row>
    <row r="11" spans="1:28" x14ac:dyDescent="0.2">
      <c r="A11" s="126">
        <v>3</v>
      </c>
      <c r="B11" s="127" t="s">
        <v>198</v>
      </c>
      <c r="C11" s="128">
        <f t="shared" si="0"/>
        <v>596.79999999999995</v>
      </c>
      <c r="D11" s="17">
        <v>530.4</v>
      </c>
      <c r="E11" s="6">
        <v>7.8</v>
      </c>
      <c r="F11" s="128">
        <f t="shared" si="1"/>
        <v>58.600000000000009</v>
      </c>
      <c r="G11" s="14"/>
      <c r="H11" s="128">
        <v>0.5</v>
      </c>
      <c r="I11" s="14">
        <v>1.1000000000000001</v>
      </c>
      <c r="J11" s="14">
        <v>0.3</v>
      </c>
      <c r="K11" s="14">
        <v>0.5</v>
      </c>
      <c r="L11" s="14">
        <v>0.1</v>
      </c>
      <c r="M11" s="14"/>
      <c r="N11" s="14">
        <v>4.0999999999999996</v>
      </c>
      <c r="O11" s="128">
        <f t="shared" si="2"/>
        <v>0.8</v>
      </c>
      <c r="P11" s="14">
        <v>23.3</v>
      </c>
      <c r="Q11" s="14">
        <v>5.4</v>
      </c>
      <c r="R11" s="14">
        <v>4.2</v>
      </c>
      <c r="S11" s="14">
        <v>3.5</v>
      </c>
      <c r="T11" s="14">
        <v>0.7</v>
      </c>
      <c r="U11" s="14">
        <f>0.3+6.2</f>
        <v>6.5</v>
      </c>
      <c r="V11" s="14"/>
      <c r="W11" s="14">
        <v>2.2000000000000002</v>
      </c>
      <c r="X11" s="6">
        <v>5.4</v>
      </c>
      <c r="Y11" s="14"/>
      <c r="Z11" s="130"/>
      <c r="AA11" s="130"/>
      <c r="AB11" s="130"/>
    </row>
    <row r="12" spans="1:28" x14ac:dyDescent="0.2">
      <c r="A12" s="126">
        <v>4</v>
      </c>
      <c r="B12" s="127" t="s">
        <v>199</v>
      </c>
      <c r="C12" s="128">
        <f t="shared" si="0"/>
        <v>604.70000000000005</v>
      </c>
      <c r="D12" s="17">
        <v>541.70000000000005</v>
      </c>
      <c r="E12" s="6">
        <v>7.9</v>
      </c>
      <c r="F12" s="128">
        <f t="shared" si="1"/>
        <v>55.1</v>
      </c>
      <c r="G12" s="14"/>
      <c r="H12" s="128">
        <v>0.5</v>
      </c>
      <c r="I12" s="14">
        <v>1.1000000000000001</v>
      </c>
      <c r="J12" s="14">
        <v>0.3</v>
      </c>
      <c r="K12" s="14">
        <v>0.7</v>
      </c>
      <c r="L12" s="14">
        <v>0.1</v>
      </c>
      <c r="M12" s="14"/>
      <c r="N12" s="14">
        <v>4.2</v>
      </c>
      <c r="O12" s="128">
        <f>+ROUND(D12*0.15/100,1)+0.1</f>
        <v>0.9</v>
      </c>
      <c r="P12" s="14">
        <v>16</v>
      </c>
      <c r="Q12" s="14">
        <v>5.4</v>
      </c>
      <c r="R12" s="14">
        <v>5.6</v>
      </c>
      <c r="S12" s="14">
        <v>4</v>
      </c>
      <c r="T12" s="14">
        <v>0.9</v>
      </c>
      <c r="U12" s="14">
        <f>7.3+0.3</f>
        <v>7.6</v>
      </c>
      <c r="V12" s="14"/>
      <c r="W12" s="14">
        <v>2.2999999999999998</v>
      </c>
      <c r="X12" s="6">
        <v>5.5</v>
      </c>
      <c r="Y12" s="14"/>
      <c r="Z12" s="130"/>
      <c r="AA12" s="130"/>
      <c r="AB12" s="130"/>
    </row>
    <row r="13" spans="1:28" x14ac:dyDescent="0.2">
      <c r="A13" s="126">
        <v>5</v>
      </c>
      <c r="B13" s="127" t="s">
        <v>200</v>
      </c>
      <c r="C13" s="128">
        <f t="shared" si="0"/>
        <v>646.6</v>
      </c>
      <c r="D13" s="17">
        <v>579.70000000000005</v>
      </c>
      <c r="E13" s="6">
        <v>8.5</v>
      </c>
      <c r="F13" s="128">
        <f t="shared" si="1"/>
        <v>58.399999999999991</v>
      </c>
      <c r="G13" s="14"/>
      <c r="H13" s="128">
        <v>0.5</v>
      </c>
      <c r="I13" s="14">
        <v>1.1000000000000001</v>
      </c>
      <c r="J13" s="14">
        <v>0.3</v>
      </c>
      <c r="K13" s="14">
        <v>0.7</v>
      </c>
      <c r="L13" s="14">
        <v>0.1</v>
      </c>
      <c r="M13" s="14"/>
      <c r="N13" s="14">
        <v>4.0999999999999996</v>
      </c>
      <c r="O13" s="128">
        <f t="shared" si="2"/>
        <v>0.9</v>
      </c>
      <c r="P13" s="14">
        <v>21.7</v>
      </c>
      <c r="Q13" s="14">
        <v>5.9</v>
      </c>
      <c r="R13" s="14">
        <v>5.4</v>
      </c>
      <c r="S13" s="14">
        <v>3.6</v>
      </c>
      <c r="T13" s="14">
        <v>0.9</v>
      </c>
      <c r="U13" s="14">
        <f>0.3+6.5</f>
        <v>6.8</v>
      </c>
      <c r="V13" s="14"/>
      <c r="W13" s="14">
        <v>0.5</v>
      </c>
      <c r="X13" s="17">
        <v>5.9</v>
      </c>
      <c r="Y13" s="14"/>
      <c r="Z13" s="130"/>
      <c r="AA13" s="130"/>
      <c r="AB13" s="130"/>
    </row>
    <row r="14" spans="1:28" s="5" customFormat="1" x14ac:dyDescent="0.2">
      <c r="A14" s="126">
        <v>6</v>
      </c>
      <c r="B14" s="127" t="s">
        <v>201</v>
      </c>
      <c r="C14" s="128">
        <f t="shared" si="0"/>
        <v>724.3</v>
      </c>
      <c r="D14" s="17">
        <v>650.29999999999995</v>
      </c>
      <c r="E14" s="6">
        <v>9.5</v>
      </c>
      <c r="F14" s="128">
        <f t="shared" si="1"/>
        <v>64.5</v>
      </c>
      <c r="G14" s="14"/>
      <c r="H14" s="128">
        <v>0.6</v>
      </c>
      <c r="I14" s="14">
        <v>1.1000000000000001</v>
      </c>
      <c r="J14" s="14">
        <v>0.3</v>
      </c>
      <c r="K14" s="14">
        <v>0.5</v>
      </c>
      <c r="L14" s="14">
        <v>0.1</v>
      </c>
      <c r="M14" s="14"/>
      <c r="N14" s="14">
        <v>4.7</v>
      </c>
      <c r="O14" s="128">
        <f t="shared" si="2"/>
        <v>1</v>
      </c>
      <c r="P14" s="14">
        <v>22.9</v>
      </c>
      <c r="Q14" s="14">
        <v>6.7</v>
      </c>
      <c r="R14" s="14">
        <v>4.2</v>
      </c>
      <c r="S14" s="14">
        <v>3.8</v>
      </c>
      <c r="T14" s="14">
        <v>0.7</v>
      </c>
      <c r="U14" s="14">
        <f>0.2+9.5</f>
        <v>9.6999999999999993</v>
      </c>
      <c r="V14" s="14"/>
      <c r="W14" s="14">
        <v>1.6</v>
      </c>
      <c r="X14" s="17">
        <v>6.6</v>
      </c>
      <c r="Y14" s="14"/>
      <c r="Z14" s="130"/>
      <c r="AA14" s="130"/>
      <c r="AB14" s="130"/>
    </row>
    <row r="15" spans="1:28" x14ac:dyDescent="0.2">
      <c r="A15" s="126">
        <v>7</v>
      </c>
      <c r="B15" s="127" t="s">
        <v>202</v>
      </c>
      <c r="C15" s="128">
        <f t="shared" si="0"/>
        <v>679.9</v>
      </c>
      <c r="D15" s="17">
        <v>606.29999999999995</v>
      </c>
      <c r="E15" s="6">
        <v>8.9</v>
      </c>
      <c r="F15" s="128">
        <f t="shared" si="1"/>
        <v>64.7</v>
      </c>
      <c r="G15" s="14"/>
      <c r="H15" s="128">
        <v>0.6</v>
      </c>
      <c r="I15" s="14">
        <v>1.1000000000000001</v>
      </c>
      <c r="J15" s="14">
        <v>0.3</v>
      </c>
      <c r="K15" s="14">
        <v>0.8</v>
      </c>
      <c r="L15" s="14">
        <v>0.1</v>
      </c>
      <c r="M15" s="14"/>
      <c r="N15" s="14">
        <v>6</v>
      </c>
      <c r="O15" s="128">
        <f t="shared" si="2"/>
        <v>0.9</v>
      </c>
      <c r="P15" s="14">
        <v>20</v>
      </c>
      <c r="Q15" s="14">
        <v>6.6</v>
      </c>
      <c r="R15" s="14">
        <v>6.2</v>
      </c>
      <c r="S15" s="14">
        <v>7.8</v>
      </c>
      <c r="T15" s="14">
        <v>1</v>
      </c>
      <c r="U15" s="14">
        <f>6.4+0.4</f>
        <v>6.8000000000000007</v>
      </c>
      <c r="V15" s="14"/>
      <c r="W15" s="14">
        <v>0.4</v>
      </c>
      <c r="X15" s="6">
        <v>6.1</v>
      </c>
      <c r="Y15" s="14"/>
      <c r="Z15" s="130"/>
      <c r="AA15" s="130"/>
      <c r="AB15" s="130"/>
    </row>
    <row r="16" spans="1:28" x14ac:dyDescent="0.2">
      <c r="A16" s="126">
        <v>8</v>
      </c>
      <c r="B16" s="127" t="s">
        <v>203</v>
      </c>
      <c r="C16" s="131">
        <f t="shared" si="0"/>
        <v>608.50000000000011</v>
      </c>
      <c r="D16" s="17">
        <v>525.90000000000009</v>
      </c>
      <c r="E16" s="6">
        <v>7.7</v>
      </c>
      <c r="F16" s="128">
        <f t="shared" si="1"/>
        <v>74.900000000000006</v>
      </c>
      <c r="G16" s="67"/>
      <c r="H16" s="128">
        <v>0.5</v>
      </c>
      <c r="I16" s="67">
        <v>1.1000000000000001</v>
      </c>
      <c r="J16" s="67">
        <f>0.3+4.6</f>
        <v>4.8999999999999995</v>
      </c>
      <c r="K16" s="67">
        <v>0.6</v>
      </c>
      <c r="L16" s="67">
        <v>0.1</v>
      </c>
      <c r="M16" s="67"/>
      <c r="N16" s="67">
        <v>4.8</v>
      </c>
      <c r="O16" s="128">
        <f t="shared" si="2"/>
        <v>0.8</v>
      </c>
      <c r="P16" s="67">
        <v>27.6</v>
      </c>
      <c r="Q16" s="67">
        <v>5</v>
      </c>
      <c r="R16" s="67">
        <v>4.0999999999999996</v>
      </c>
      <c r="S16" s="67">
        <v>4.3</v>
      </c>
      <c r="T16" s="67">
        <v>0.8</v>
      </c>
      <c r="U16" s="67">
        <f>6.6+0.3+1.2</f>
        <v>8.1</v>
      </c>
      <c r="V16" s="67"/>
      <c r="W16" s="67">
        <v>6.9</v>
      </c>
      <c r="X16" s="6">
        <v>5.3</v>
      </c>
      <c r="Y16" s="67"/>
      <c r="Z16" s="130"/>
      <c r="AA16" s="130"/>
      <c r="AB16" s="130"/>
    </row>
    <row r="17" spans="1:28" x14ac:dyDescent="0.2">
      <c r="A17" s="126">
        <v>9</v>
      </c>
      <c r="B17" s="132" t="s">
        <v>204</v>
      </c>
      <c r="C17" s="133">
        <f t="shared" ref="C17:Y17" si="3">SUM(C9:C16)</f>
        <v>5072.3999999999996</v>
      </c>
      <c r="D17" s="133">
        <f t="shared" si="3"/>
        <v>4521.8000000000011</v>
      </c>
      <c r="E17" s="133">
        <f t="shared" si="3"/>
        <v>66.2</v>
      </c>
      <c r="F17" s="133">
        <f t="shared" si="3"/>
        <v>484.4</v>
      </c>
      <c r="G17" s="133">
        <f t="shared" si="3"/>
        <v>0</v>
      </c>
      <c r="H17" s="133">
        <f t="shared" si="3"/>
        <v>4.2</v>
      </c>
      <c r="I17" s="133">
        <f t="shared" si="3"/>
        <v>8.7999999999999989</v>
      </c>
      <c r="J17" s="133">
        <f t="shared" si="3"/>
        <v>7</v>
      </c>
      <c r="K17" s="133">
        <f t="shared" si="3"/>
        <v>4.8999999999999995</v>
      </c>
      <c r="L17" s="133">
        <f t="shared" si="3"/>
        <v>0.79999999999999993</v>
      </c>
      <c r="M17" s="133">
        <f t="shared" si="3"/>
        <v>0</v>
      </c>
      <c r="N17" s="133">
        <f t="shared" si="3"/>
        <v>36.4</v>
      </c>
      <c r="O17" s="133">
        <f t="shared" si="3"/>
        <v>6.9</v>
      </c>
      <c r="P17" s="133">
        <f>SUM(P9:P16)</f>
        <v>168.79999999999998</v>
      </c>
      <c r="Q17" s="133">
        <f t="shared" si="3"/>
        <v>47.2</v>
      </c>
      <c r="R17" s="133">
        <f t="shared" si="3"/>
        <v>38.199999999999996</v>
      </c>
      <c r="S17" s="133">
        <f t="shared" si="3"/>
        <v>34.1</v>
      </c>
      <c r="T17" s="133">
        <f t="shared" si="3"/>
        <v>6.5</v>
      </c>
      <c r="U17" s="133">
        <f>SUM(U9:U16)</f>
        <v>59.29999999999999</v>
      </c>
      <c r="V17" s="133">
        <f t="shared" si="3"/>
        <v>0</v>
      </c>
      <c r="W17" s="133">
        <f t="shared" si="3"/>
        <v>15.5</v>
      </c>
      <c r="X17" s="133">
        <f t="shared" si="3"/>
        <v>45.8</v>
      </c>
      <c r="Y17" s="133">
        <f t="shared" si="3"/>
        <v>0</v>
      </c>
      <c r="Z17" s="130"/>
      <c r="AA17" s="130"/>
      <c r="AB17" s="130"/>
    </row>
    <row r="18" spans="1:28" s="5" customFormat="1" x14ac:dyDescent="0.2">
      <c r="A18" s="126">
        <v>10</v>
      </c>
      <c r="B18" s="127" t="s">
        <v>205</v>
      </c>
      <c r="C18" s="128">
        <f t="shared" ref="C18:C36" si="4">+D18+E18+F18</f>
        <v>556.79999999999995</v>
      </c>
      <c r="D18" s="17">
        <v>449.39999999999992</v>
      </c>
      <c r="E18" s="6">
        <v>6.6</v>
      </c>
      <c r="F18" s="128">
        <f t="shared" ref="F18:F36" si="5">SUM(G18:Y18)</f>
        <v>100.79999999999998</v>
      </c>
      <c r="G18" s="14"/>
      <c r="H18" s="14">
        <v>1</v>
      </c>
      <c r="I18" s="14">
        <v>2.5</v>
      </c>
      <c r="J18" s="14">
        <v>3.2</v>
      </c>
      <c r="K18" s="14"/>
      <c r="L18" s="14">
        <v>0.6</v>
      </c>
      <c r="M18" s="14"/>
      <c r="N18" s="14">
        <f>9.7</f>
        <v>9.6999999999999993</v>
      </c>
      <c r="O18" s="128">
        <f>+ROUND(D18*0.15/100,1)</f>
        <v>0.7</v>
      </c>
      <c r="P18" s="14">
        <f>45.9-16.5</f>
        <v>29.4</v>
      </c>
      <c r="Q18" s="14">
        <v>17.3</v>
      </c>
      <c r="R18" s="14">
        <v>5.0999999999999996</v>
      </c>
      <c r="S18" s="14">
        <v>0.7</v>
      </c>
      <c r="T18" s="14">
        <v>2</v>
      </c>
      <c r="U18" s="14">
        <f>14.4+4+2.2</f>
        <v>20.599999999999998</v>
      </c>
      <c r="V18" s="14"/>
      <c r="W18" s="14">
        <v>3.5</v>
      </c>
      <c r="X18" s="6">
        <v>4.5</v>
      </c>
      <c r="Y18" s="14"/>
      <c r="Z18" s="130"/>
      <c r="AA18" s="130"/>
      <c r="AB18" s="130"/>
    </row>
    <row r="19" spans="1:28" x14ac:dyDescent="0.2">
      <c r="A19" s="126">
        <v>11</v>
      </c>
      <c r="B19" s="127" t="s">
        <v>2</v>
      </c>
      <c r="C19" s="128">
        <f t="shared" si="4"/>
        <v>634.69999999999982</v>
      </c>
      <c r="D19" s="17">
        <v>441.2999999999999</v>
      </c>
      <c r="E19" s="6">
        <v>6.4</v>
      </c>
      <c r="F19" s="128">
        <f t="shared" si="5"/>
        <v>186.99999999999997</v>
      </c>
      <c r="G19" s="14"/>
      <c r="H19" s="14">
        <v>0.9</v>
      </c>
      <c r="I19" s="14">
        <v>2.5</v>
      </c>
      <c r="J19" s="14">
        <v>1</v>
      </c>
      <c r="K19" s="14"/>
      <c r="L19" s="14">
        <v>0.6</v>
      </c>
      <c r="M19" s="14"/>
      <c r="N19" s="14">
        <f>7.8</f>
        <v>7.8</v>
      </c>
      <c r="O19" s="128">
        <f t="shared" ref="O19:O31" si="6">+ROUND(D19*0.15/100,1)</f>
        <v>0.7</v>
      </c>
      <c r="P19" s="14">
        <v>20</v>
      </c>
      <c r="Q19" s="14">
        <f>31.4+9</f>
        <v>40.4</v>
      </c>
      <c r="R19" s="14">
        <v>5.4</v>
      </c>
      <c r="S19" s="14">
        <v>5.5</v>
      </c>
      <c r="T19" s="14">
        <v>2.1</v>
      </c>
      <c r="U19" s="14">
        <f>17.3+68.3+4.2+2.5</f>
        <v>92.3</v>
      </c>
      <c r="V19" s="14"/>
      <c r="W19" s="14">
        <v>2.7</v>
      </c>
      <c r="X19" s="6">
        <v>5.0999999999999996</v>
      </c>
      <c r="Y19" s="14"/>
      <c r="Z19" s="130"/>
      <c r="AA19" s="130"/>
      <c r="AB19" s="130"/>
    </row>
    <row r="20" spans="1:28" x14ac:dyDescent="0.2">
      <c r="A20" s="126">
        <v>12</v>
      </c>
      <c r="B20" s="127" t="s">
        <v>206</v>
      </c>
      <c r="C20" s="128">
        <f>+D20+E20+F20</f>
        <v>1423.65</v>
      </c>
      <c r="D20" s="17">
        <v>1179.7</v>
      </c>
      <c r="E20" s="6">
        <v>17.8</v>
      </c>
      <c r="F20" s="128">
        <f>SUM(G20:Y20)</f>
        <v>226.14999999999998</v>
      </c>
      <c r="G20" s="134"/>
      <c r="H20" s="135">
        <f>0.7+0.2+0.2</f>
        <v>1.0999999999999999</v>
      </c>
      <c r="I20" s="135">
        <v>4.1500000000000004</v>
      </c>
      <c r="J20" s="135">
        <v>48.9</v>
      </c>
      <c r="K20" s="135">
        <v>0.3</v>
      </c>
      <c r="L20" s="135">
        <v>0.8</v>
      </c>
      <c r="M20" s="135"/>
      <c r="N20" s="135">
        <f>10+0.6+1.4+2.1</f>
        <v>14.1</v>
      </c>
      <c r="O20" s="128">
        <f t="shared" si="6"/>
        <v>1.8</v>
      </c>
      <c r="P20" s="135">
        <v>60.1</v>
      </c>
      <c r="Q20" s="135">
        <v>26.7</v>
      </c>
      <c r="R20" s="135">
        <v>7.7</v>
      </c>
      <c r="S20" s="135">
        <v>12.3</v>
      </c>
      <c r="T20" s="135">
        <f>1.2+0.1+0.4+0.5</f>
        <v>2.2000000000000002</v>
      </c>
      <c r="U20" s="135">
        <f>9.8+0.3+1.8+2.3+2.3+0.1+0.2+0.2+0.1+0.9</f>
        <v>18.000000000000004</v>
      </c>
      <c r="V20" s="135"/>
      <c r="W20" s="135">
        <v>16.100000000000001</v>
      </c>
      <c r="X20" s="6">
        <v>11.9</v>
      </c>
      <c r="Y20" s="135"/>
      <c r="Z20" s="130"/>
      <c r="AA20" s="130"/>
      <c r="AB20" s="130"/>
    </row>
    <row r="21" spans="1:28" x14ac:dyDescent="0.2">
      <c r="A21" s="126">
        <v>13</v>
      </c>
      <c r="B21" s="127" t="s">
        <v>207</v>
      </c>
      <c r="C21" s="128">
        <f>+D21+E21+F21</f>
        <v>520.69999999999993</v>
      </c>
      <c r="D21" s="17">
        <v>406.19999999999993</v>
      </c>
      <c r="E21" s="6">
        <v>5.9</v>
      </c>
      <c r="F21" s="128">
        <f t="shared" si="5"/>
        <v>108.6</v>
      </c>
      <c r="G21" s="14"/>
      <c r="H21" s="14">
        <v>0.7</v>
      </c>
      <c r="I21" s="14">
        <v>3</v>
      </c>
      <c r="J21" s="14">
        <v>26.7</v>
      </c>
      <c r="K21" s="14"/>
      <c r="L21" s="14">
        <v>0.7</v>
      </c>
      <c r="M21" s="14"/>
      <c r="N21" s="14">
        <v>6.1</v>
      </c>
      <c r="O21" s="128">
        <f t="shared" si="6"/>
        <v>0.6</v>
      </c>
      <c r="P21" s="14">
        <v>18.7</v>
      </c>
      <c r="Q21" s="14">
        <v>12.6</v>
      </c>
      <c r="R21" s="14">
        <v>2.9</v>
      </c>
      <c r="S21" s="14">
        <v>6.5</v>
      </c>
      <c r="T21" s="14">
        <v>1.1000000000000001</v>
      </c>
      <c r="U21" s="14">
        <f>9.7+0.2+2.1+0.7</f>
        <v>12.699999999999998</v>
      </c>
      <c r="V21" s="14"/>
      <c r="W21" s="14">
        <v>12.2</v>
      </c>
      <c r="X21" s="6">
        <v>4.0999999999999996</v>
      </c>
      <c r="Y21" s="14"/>
      <c r="Z21" s="130"/>
      <c r="AA21" s="130"/>
      <c r="AB21" s="130"/>
    </row>
    <row r="22" spans="1:28" s="5" customFormat="1" x14ac:dyDescent="0.2">
      <c r="A22" s="126">
        <v>14</v>
      </c>
      <c r="B22" s="127" t="s">
        <v>208</v>
      </c>
      <c r="C22" s="128">
        <f t="shared" si="4"/>
        <v>1173.3</v>
      </c>
      <c r="D22" s="17">
        <v>984.1</v>
      </c>
      <c r="E22" s="6">
        <v>15</v>
      </c>
      <c r="F22" s="128">
        <f t="shared" si="5"/>
        <v>174.2</v>
      </c>
      <c r="G22" s="14"/>
      <c r="H22" s="14">
        <v>0.7</v>
      </c>
      <c r="I22" s="14">
        <v>3.6</v>
      </c>
      <c r="J22" s="14">
        <v>49.8</v>
      </c>
      <c r="K22" s="14">
        <v>0.2</v>
      </c>
      <c r="L22" s="14">
        <v>0.7</v>
      </c>
      <c r="M22" s="14"/>
      <c r="N22" s="14">
        <f>7.6+0.7+0.6</f>
        <v>8.8999999999999986</v>
      </c>
      <c r="O22" s="128">
        <f t="shared" si="6"/>
        <v>1.5</v>
      </c>
      <c r="P22" s="14">
        <v>39.4</v>
      </c>
      <c r="Q22" s="14">
        <v>17.3</v>
      </c>
      <c r="R22" s="14">
        <v>4.7</v>
      </c>
      <c r="S22" s="14">
        <v>8.1</v>
      </c>
      <c r="T22" s="14">
        <f>1+0.2</f>
        <v>1.2</v>
      </c>
      <c r="U22" s="14">
        <f>12.9+0.2+1+2.1+0.1+0.8</f>
        <v>17.100000000000001</v>
      </c>
      <c r="V22" s="14"/>
      <c r="W22" s="14">
        <v>11.1</v>
      </c>
      <c r="X22" s="6">
        <v>9.9</v>
      </c>
      <c r="Y22" s="14"/>
      <c r="Z22" s="130"/>
      <c r="AA22" s="130"/>
      <c r="AB22" s="130"/>
    </row>
    <row r="23" spans="1:28" x14ac:dyDescent="0.2">
      <c r="A23" s="126">
        <v>15</v>
      </c>
      <c r="B23" s="127" t="s">
        <v>209</v>
      </c>
      <c r="C23" s="128">
        <f t="shared" si="4"/>
        <v>960.69999999999993</v>
      </c>
      <c r="D23" s="17">
        <v>738.4</v>
      </c>
      <c r="E23" s="136">
        <v>10.8</v>
      </c>
      <c r="F23" s="128">
        <f t="shared" si="5"/>
        <v>211.5</v>
      </c>
      <c r="G23" s="14"/>
      <c r="H23" s="14">
        <f>0.7+0.1</f>
        <v>0.79999999999999993</v>
      </c>
      <c r="I23" s="14">
        <v>3.6</v>
      </c>
      <c r="J23" s="6">
        <v>70.2</v>
      </c>
      <c r="K23" s="14"/>
      <c r="L23" s="14">
        <v>0.7</v>
      </c>
      <c r="M23" s="14"/>
      <c r="N23" s="14">
        <f>8.9+1.6+2.1</f>
        <v>12.6</v>
      </c>
      <c r="O23" s="128">
        <f t="shared" si="6"/>
        <v>1.1000000000000001</v>
      </c>
      <c r="P23" s="14">
        <v>50.1</v>
      </c>
      <c r="Q23" s="14">
        <v>26</v>
      </c>
      <c r="R23" s="14">
        <v>3.9</v>
      </c>
      <c r="S23" s="14">
        <v>7</v>
      </c>
      <c r="T23" s="14">
        <f>1.1+0.1</f>
        <v>1.2000000000000002</v>
      </c>
      <c r="U23" s="14">
        <f>8.3+0.4+0.2+2.2+0.7</f>
        <v>11.8</v>
      </c>
      <c r="V23" s="14"/>
      <c r="W23" s="14">
        <v>15</v>
      </c>
      <c r="X23" s="6">
        <v>7.5</v>
      </c>
      <c r="Y23" s="14"/>
      <c r="Z23" s="130"/>
      <c r="AA23" s="130"/>
      <c r="AB23" s="130"/>
    </row>
    <row r="24" spans="1:28" ht="22.5" x14ac:dyDescent="0.2">
      <c r="A24" s="126">
        <v>16</v>
      </c>
      <c r="B24" s="137" t="s">
        <v>88</v>
      </c>
      <c r="C24" s="128">
        <f t="shared" si="4"/>
        <v>790.40000000000009</v>
      </c>
      <c r="D24" s="17">
        <v>586.6</v>
      </c>
      <c r="E24" s="6">
        <v>8.6</v>
      </c>
      <c r="F24" s="128">
        <f t="shared" si="5"/>
        <v>195.20000000000002</v>
      </c>
      <c r="G24" s="14"/>
      <c r="H24" s="14">
        <v>1.4</v>
      </c>
      <c r="I24" s="14">
        <v>2.5</v>
      </c>
      <c r="J24" s="6">
        <v>7.1</v>
      </c>
      <c r="K24" s="14"/>
      <c r="L24" s="14">
        <v>0.7</v>
      </c>
      <c r="M24" s="14"/>
      <c r="N24" s="14">
        <f>10.9+4</f>
        <v>14.9</v>
      </c>
      <c r="O24" s="128">
        <f t="shared" si="6"/>
        <v>0.9</v>
      </c>
      <c r="P24" s="14">
        <v>54.9</v>
      </c>
      <c r="Q24" s="14">
        <v>22.6</v>
      </c>
      <c r="R24" s="14">
        <v>17.3</v>
      </c>
      <c r="S24" s="14">
        <v>7.7</v>
      </c>
      <c r="T24" s="14">
        <v>3.5</v>
      </c>
      <c r="U24" s="14">
        <f>24.9+16.2+2.2+6.9+1.8</f>
        <v>51.999999999999993</v>
      </c>
      <c r="V24" s="14"/>
      <c r="W24" s="14">
        <v>3.8</v>
      </c>
      <c r="X24" s="6">
        <v>5.9</v>
      </c>
      <c r="Y24" s="14"/>
      <c r="Z24" s="130"/>
      <c r="AA24" s="130"/>
      <c r="AB24" s="130"/>
    </row>
    <row r="25" spans="1:28" x14ac:dyDescent="0.2">
      <c r="A25" s="126">
        <v>17</v>
      </c>
      <c r="B25" s="127" t="s">
        <v>303</v>
      </c>
      <c r="C25" s="128">
        <f t="shared" si="4"/>
        <v>583.39999999999986</v>
      </c>
      <c r="D25" s="17">
        <v>451.59999999999991</v>
      </c>
      <c r="E25" s="6">
        <v>6.6</v>
      </c>
      <c r="F25" s="128">
        <f t="shared" si="5"/>
        <v>125.19999999999999</v>
      </c>
      <c r="G25" s="14"/>
      <c r="H25" s="14">
        <v>1.3</v>
      </c>
      <c r="I25" s="14">
        <v>2.5</v>
      </c>
      <c r="J25" s="14">
        <v>1</v>
      </c>
      <c r="K25" s="14"/>
      <c r="L25" s="14">
        <v>0.6</v>
      </c>
      <c r="M25" s="14"/>
      <c r="N25" s="14">
        <v>10.3</v>
      </c>
      <c r="O25" s="128">
        <f t="shared" si="6"/>
        <v>0.7</v>
      </c>
      <c r="P25" s="14">
        <v>23.8</v>
      </c>
      <c r="Q25" s="14">
        <v>20.5</v>
      </c>
      <c r="R25" s="14">
        <v>8.9</v>
      </c>
      <c r="S25" s="14">
        <v>8.8000000000000007</v>
      </c>
      <c r="T25" s="14">
        <v>3.6</v>
      </c>
      <c r="U25" s="14">
        <f>25.5+7.1+2</f>
        <v>34.6</v>
      </c>
      <c r="V25" s="14"/>
      <c r="W25" s="14">
        <v>4</v>
      </c>
      <c r="X25" s="6">
        <v>4.5999999999999996</v>
      </c>
      <c r="Y25" s="14"/>
      <c r="Z25" s="130"/>
      <c r="AA25" s="130"/>
      <c r="AB25" s="130"/>
    </row>
    <row r="26" spans="1:28" s="5" customFormat="1" x14ac:dyDescent="0.2">
      <c r="A26" s="126">
        <v>18</v>
      </c>
      <c r="B26" s="127" t="s">
        <v>210</v>
      </c>
      <c r="C26" s="128">
        <f t="shared" si="4"/>
        <v>599.40000000000009</v>
      </c>
      <c r="D26" s="17">
        <v>451.90000000000003</v>
      </c>
      <c r="E26" s="6">
        <v>6.6</v>
      </c>
      <c r="F26" s="128">
        <f t="shared" si="5"/>
        <v>140.9</v>
      </c>
      <c r="G26" s="14"/>
      <c r="H26" s="14">
        <v>1</v>
      </c>
      <c r="I26" s="14">
        <v>3</v>
      </c>
      <c r="J26" s="6">
        <v>17.8</v>
      </c>
      <c r="K26" s="14"/>
      <c r="L26" s="14">
        <v>0.7</v>
      </c>
      <c r="M26" s="14"/>
      <c r="N26" s="14">
        <f>7.5</f>
        <v>7.5</v>
      </c>
      <c r="O26" s="128">
        <f t="shared" si="6"/>
        <v>0.7</v>
      </c>
      <c r="P26" s="14">
        <v>48.6</v>
      </c>
      <c r="Q26" s="14">
        <v>16.100000000000001</v>
      </c>
      <c r="R26" s="14">
        <v>5.6</v>
      </c>
      <c r="S26" s="14">
        <v>6.5</v>
      </c>
      <c r="T26" s="14">
        <v>2.2000000000000002</v>
      </c>
      <c r="U26" s="14">
        <f>17.6+0.2+4.2+1.2</f>
        <v>23.2</v>
      </c>
      <c r="V26" s="14"/>
      <c r="W26" s="14">
        <v>3.4</v>
      </c>
      <c r="X26" s="6">
        <v>4.5999999999999996</v>
      </c>
      <c r="Y26" s="14"/>
      <c r="Z26" s="130"/>
      <c r="AA26" s="130"/>
      <c r="AB26" s="130"/>
    </row>
    <row r="27" spans="1:28" x14ac:dyDescent="0.2">
      <c r="A27" s="126">
        <v>19</v>
      </c>
      <c r="B27" s="127" t="s">
        <v>16</v>
      </c>
      <c r="C27" s="128">
        <f t="shared" si="4"/>
        <v>366.5</v>
      </c>
      <c r="D27" s="17">
        <v>301</v>
      </c>
      <c r="E27" s="6">
        <v>4.8</v>
      </c>
      <c r="F27" s="128">
        <f t="shared" si="5"/>
        <v>60.699999999999989</v>
      </c>
      <c r="G27" s="14"/>
      <c r="H27" s="14">
        <v>0.3</v>
      </c>
      <c r="I27" s="14">
        <v>1</v>
      </c>
      <c r="J27" s="6">
        <v>11.5</v>
      </c>
      <c r="K27" s="14"/>
      <c r="L27" s="14">
        <v>0.2</v>
      </c>
      <c r="M27" s="14"/>
      <c r="N27" s="14">
        <v>5.0999999999999996</v>
      </c>
      <c r="O27" s="128">
        <f t="shared" si="6"/>
        <v>0.5</v>
      </c>
      <c r="P27" s="14">
        <v>19.7</v>
      </c>
      <c r="Q27" s="14">
        <v>5</v>
      </c>
      <c r="R27" s="14">
        <v>1.4</v>
      </c>
      <c r="S27" s="14">
        <v>3.4</v>
      </c>
      <c r="T27" s="14">
        <v>0.4</v>
      </c>
      <c r="U27" s="14">
        <f>2.5+0.7+0.2</f>
        <v>3.4000000000000004</v>
      </c>
      <c r="V27" s="14"/>
      <c r="W27" s="14">
        <v>5.8</v>
      </c>
      <c r="X27" s="6">
        <v>3</v>
      </c>
      <c r="Y27" s="14"/>
      <c r="Z27" s="130"/>
      <c r="AA27" s="130"/>
      <c r="AB27" s="130"/>
    </row>
    <row r="28" spans="1:28" x14ac:dyDescent="0.2">
      <c r="A28" s="126">
        <v>20</v>
      </c>
      <c r="B28" s="127" t="s">
        <v>17</v>
      </c>
      <c r="C28" s="128">
        <f t="shared" si="4"/>
        <v>1031.0999999999999</v>
      </c>
      <c r="D28" s="17">
        <v>839.39999999999986</v>
      </c>
      <c r="E28" s="6">
        <v>12.3</v>
      </c>
      <c r="F28" s="128">
        <f t="shared" si="5"/>
        <v>179.4</v>
      </c>
      <c r="G28" s="14"/>
      <c r="H28" s="14">
        <f>0.5+0.1+0.1+0.3</f>
        <v>1</v>
      </c>
      <c r="I28" s="14">
        <v>2.6</v>
      </c>
      <c r="J28" s="6">
        <v>26.3</v>
      </c>
      <c r="K28" s="14">
        <v>0.6</v>
      </c>
      <c r="L28" s="14">
        <v>0.4</v>
      </c>
      <c r="M28" s="14"/>
      <c r="N28" s="14">
        <f>3.8+1.1+1.8+1.9</f>
        <v>8.6</v>
      </c>
      <c r="O28" s="128">
        <f t="shared" si="6"/>
        <v>1.3</v>
      </c>
      <c r="P28" s="14">
        <v>70.900000000000006</v>
      </c>
      <c r="Q28" s="14">
        <f>21.6+8</f>
        <v>29.6</v>
      </c>
      <c r="R28" s="14">
        <v>8.5</v>
      </c>
      <c r="S28" s="14">
        <v>1.7</v>
      </c>
      <c r="T28" s="14">
        <f>0.5+0.1+0.2+0.5</f>
        <v>1.3</v>
      </c>
      <c r="U28" s="14">
        <f>3.8+0.6+0.8+2.5+0.9+0.4+0.2</f>
        <v>9.1999999999999993</v>
      </c>
      <c r="V28" s="14"/>
      <c r="W28" s="14">
        <v>8.9</v>
      </c>
      <c r="X28" s="6">
        <v>8.5</v>
      </c>
      <c r="Y28" s="14"/>
      <c r="Z28" s="130"/>
      <c r="AA28" s="130"/>
      <c r="AB28" s="130"/>
    </row>
    <row r="29" spans="1:28" ht="22.5" x14ac:dyDescent="0.2">
      <c r="A29" s="126">
        <v>21</v>
      </c>
      <c r="B29" s="137" t="s">
        <v>19</v>
      </c>
      <c r="C29" s="128">
        <f t="shared" si="4"/>
        <v>379.4</v>
      </c>
      <c r="D29" s="17">
        <v>322.59999999999997</v>
      </c>
      <c r="E29" s="6">
        <v>4.7</v>
      </c>
      <c r="F29" s="128">
        <f t="shared" si="5"/>
        <v>52.1</v>
      </c>
      <c r="G29" s="14"/>
      <c r="H29" s="14">
        <v>0.4</v>
      </c>
      <c r="I29" s="14">
        <v>1</v>
      </c>
      <c r="J29" s="6">
        <v>11</v>
      </c>
      <c r="K29" s="14">
        <v>0.2</v>
      </c>
      <c r="L29" s="14">
        <v>0.2</v>
      </c>
      <c r="M29" s="14"/>
      <c r="N29" s="14">
        <v>4.3</v>
      </c>
      <c r="O29" s="128">
        <f t="shared" si="6"/>
        <v>0.5</v>
      </c>
      <c r="P29" s="14">
        <v>18.399999999999999</v>
      </c>
      <c r="Q29" s="14">
        <v>4.5999999999999996</v>
      </c>
      <c r="R29" s="14">
        <v>1.1000000000000001</v>
      </c>
      <c r="S29" s="14">
        <v>0.7</v>
      </c>
      <c r="T29" s="14">
        <v>0.3</v>
      </c>
      <c r="U29" s="14">
        <f>2.1+0.6+0.2</f>
        <v>2.9000000000000004</v>
      </c>
      <c r="V29" s="14"/>
      <c r="W29" s="14">
        <v>3.2</v>
      </c>
      <c r="X29" s="6">
        <v>3.3</v>
      </c>
      <c r="Y29" s="14"/>
      <c r="Z29" s="130"/>
      <c r="AA29" s="130"/>
      <c r="AB29" s="130"/>
    </row>
    <row r="30" spans="1:28" s="5" customFormat="1" x14ac:dyDescent="0.2">
      <c r="A30" s="126">
        <v>22</v>
      </c>
      <c r="B30" s="137" t="s">
        <v>20</v>
      </c>
      <c r="C30" s="131">
        <f t="shared" si="4"/>
        <v>686.10000000000014</v>
      </c>
      <c r="D30" s="17">
        <v>545.50000000000011</v>
      </c>
      <c r="E30" s="6">
        <v>8</v>
      </c>
      <c r="F30" s="128">
        <f t="shared" si="5"/>
        <v>132.6</v>
      </c>
      <c r="G30" s="67"/>
      <c r="H30" s="67">
        <v>0.6</v>
      </c>
      <c r="I30" s="67">
        <v>1</v>
      </c>
      <c r="J30" s="67">
        <v>7.4</v>
      </c>
      <c r="K30" s="67"/>
      <c r="L30" s="67">
        <v>0.6</v>
      </c>
      <c r="M30" s="67"/>
      <c r="N30" s="67">
        <v>9.1999999999999993</v>
      </c>
      <c r="O30" s="128">
        <f t="shared" si="6"/>
        <v>0.8</v>
      </c>
      <c r="P30" s="67">
        <v>75.5</v>
      </c>
      <c r="Q30" s="67">
        <v>6</v>
      </c>
      <c r="R30" s="67">
        <v>1.7</v>
      </c>
      <c r="S30" s="67">
        <v>4.2</v>
      </c>
      <c r="T30" s="67">
        <v>0.5</v>
      </c>
      <c r="U30" s="67">
        <f>17.5+1+0.6</f>
        <v>19.100000000000001</v>
      </c>
      <c r="V30" s="67"/>
      <c r="W30" s="67">
        <v>0.5</v>
      </c>
      <c r="X30" s="6">
        <v>5.5</v>
      </c>
      <c r="Y30" s="67"/>
      <c r="Z30" s="130"/>
      <c r="AA30" s="130"/>
      <c r="AB30" s="130"/>
    </row>
    <row r="31" spans="1:28" x14ac:dyDescent="0.2">
      <c r="A31" s="126">
        <v>23</v>
      </c>
      <c r="B31" s="137" t="s">
        <v>89</v>
      </c>
      <c r="C31" s="131">
        <f t="shared" si="4"/>
        <v>148.6</v>
      </c>
      <c r="D31" s="17">
        <v>18.200000000000003</v>
      </c>
      <c r="E31" s="6">
        <v>0.3</v>
      </c>
      <c r="F31" s="128">
        <f t="shared" si="5"/>
        <v>130.1</v>
      </c>
      <c r="G31" s="67"/>
      <c r="H31" s="67"/>
      <c r="I31" s="67"/>
      <c r="J31" s="67"/>
      <c r="K31" s="67"/>
      <c r="L31" s="67"/>
      <c r="M31" s="67"/>
      <c r="N31" s="67">
        <f>0.9+8</f>
        <v>8.9</v>
      </c>
      <c r="O31" s="128">
        <f t="shared" si="6"/>
        <v>0</v>
      </c>
      <c r="P31" s="67"/>
      <c r="Q31" s="67"/>
      <c r="R31" s="67"/>
      <c r="S31" s="67"/>
      <c r="T31" s="67"/>
      <c r="U31" s="67">
        <v>0.2</v>
      </c>
      <c r="V31" s="67"/>
      <c r="W31" s="67">
        <v>0.8</v>
      </c>
      <c r="X31" s="6">
        <v>0.2</v>
      </c>
      <c r="Y31" s="67">
        <v>120</v>
      </c>
      <c r="Z31" s="130"/>
      <c r="AA31" s="130"/>
      <c r="AB31" s="130"/>
    </row>
    <row r="32" spans="1:28" x14ac:dyDescent="0.2">
      <c r="A32" s="126">
        <v>24</v>
      </c>
      <c r="B32" s="127" t="s">
        <v>15</v>
      </c>
      <c r="C32" s="131">
        <f t="shared" si="4"/>
        <v>568.99999999999989</v>
      </c>
      <c r="D32" s="17">
        <v>543.49999999999989</v>
      </c>
      <c r="E32" s="6">
        <v>8</v>
      </c>
      <c r="F32" s="128">
        <f t="shared" si="5"/>
        <v>17.5</v>
      </c>
      <c r="G32" s="14"/>
      <c r="H32" s="14"/>
      <c r="I32" s="14"/>
      <c r="J32" s="14"/>
      <c r="K32" s="14"/>
      <c r="L32" s="14"/>
      <c r="M32" s="14"/>
      <c r="N32" s="14">
        <v>0.5</v>
      </c>
      <c r="O32" s="128"/>
      <c r="P32" s="14">
        <v>5</v>
      </c>
      <c r="Q32" s="14">
        <v>3.3</v>
      </c>
      <c r="R32" s="14">
        <v>0.3</v>
      </c>
      <c r="S32" s="14"/>
      <c r="T32" s="14"/>
      <c r="U32" s="14">
        <v>1</v>
      </c>
      <c r="V32" s="14"/>
      <c r="W32" s="14">
        <f>1.3+0.6</f>
        <v>1.9</v>
      </c>
      <c r="X32" s="6">
        <v>5.5</v>
      </c>
      <c r="Y32" s="14"/>
      <c r="Z32" s="130"/>
      <c r="AA32" s="130"/>
      <c r="AB32" s="130"/>
    </row>
    <row r="33" spans="1:28" x14ac:dyDescent="0.2">
      <c r="A33" s="126">
        <v>25</v>
      </c>
      <c r="B33" s="127" t="s">
        <v>14</v>
      </c>
      <c r="C33" s="128">
        <f t="shared" si="4"/>
        <v>532.4</v>
      </c>
      <c r="D33" s="17">
        <v>519.4</v>
      </c>
      <c r="E33" s="6">
        <v>7.6</v>
      </c>
      <c r="F33" s="128">
        <f t="shared" si="5"/>
        <v>5.4</v>
      </c>
      <c r="G33" s="14"/>
      <c r="H33" s="14"/>
      <c r="I33" s="14"/>
      <c r="J33" s="14"/>
      <c r="K33" s="14"/>
      <c r="L33" s="14"/>
      <c r="M33" s="14"/>
      <c r="N33" s="14"/>
      <c r="O33" s="128"/>
      <c r="P33" s="14"/>
      <c r="Q33" s="14"/>
      <c r="R33" s="14"/>
      <c r="S33" s="14"/>
      <c r="T33" s="14"/>
      <c r="U33" s="14"/>
      <c r="V33" s="14"/>
      <c r="W33" s="14">
        <v>0.2</v>
      </c>
      <c r="X33" s="6">
        <v>5.2</v>
      </c>
      <c r="Y33" s="14"/>
      <c r="Z33" s="130"/>
      <c r="AA33" s="130"/>
      <c r="AB33" s="130"/>
    </row>
    <row r="34" spans="1:28" x14ac:dyDescent="0.2">
      <c r="A34" s="126">
        <v>26</v>
      </c>
      <c r="B34" s="127" t="s">
        <v>21</v>
      </c>
      <c r="C34" s="128">
        <f t="shared" si="4"/>
        <v>1430.8000000000004</v>
      </c>
      <c r="D34" s="17">
        <v>1392.2000000000003</v>
      </c>
      <c r="E34" s="6">
        <v>20.399999999999999</v>
      </c>
      <c r="F34" s="128">
        <f t="shared" si="5"/>
        <v>18.2</v>
      </c>
      <c r="G34" s="14"/>
      <c r="H34" s="14"/>
      <c r="I34" s="14"/>
      <c r="J34" s="14"/>
      <c r="K34" s="14"/>
      <c r="L34" s="14"/>
      <c r="M34" s="14"/>
      <c r="N34" s="14"/>
      <c r="O34" s="128"/>
      <c r="P34" s="14"/>
      <c r="Q34" s="14"/>
      <c r="R34" s="14"/>
      <c r="S34" s="14"/>
      <c r="T34" s="14"/>
      <c r="U34" s="14"/>
      <c r="V34" s="14"/>
      <c r="W34" s="14">
        <v>4.0999999999999996</v>
      </c>
      <c r="X34" s="6">
        <v>14.1</v>
      </c>
      <c r="Y34" s="14"/>
      <c r="Z34" s="130"/>
      <c r="AA34" s="130"/>
      <c r="AB34" s="130"/>
    </row>
    <row r="35" spans="1:28" x14ac:dyDescent="0.2">
      <c r="A35" s="126">
        <v>27</v>
      </c>
      <c r="B35" s="127" t="s">
        <v>36</v>
      </c>
      <c r="C35" s="128">
        <f t="shared" si="4"/>
        <v>1427.6</v>
      </c>
      <c r="D35" s="17">
        <v>959.5</v>
      </c>
      <c r="E35" s="6">
        <v>14.1</v>
      </c>
      <c r="F35" s="128">
        <f t="shared" si="5"/>
        <v>454</v>
      </c>
      <c r="G35" s="14"/>
      <c r="H35" s="14">
        <v>0.9</v>
      </c>
      <c r="I35" s="14">
        <v>2.5</v>
      </c>
      <c r="J35" s="14">
        <v>17.600000000000001</v>
      </c>
      <c r="K35" s="14"/>
      <c r="L35" s="14">
        <v>0.8</v>
      </c>
      <c r="M35" s="14"/>
      <c r="N35" s="14">
        <f>17+19.5+8</f>
        <v>44.5</v>
      </c>
      <c r="O35" s="128">
        <f>+ROUND(D35*0.15/100,1)</f>
        <v>1.4</v>
      </c>
      <c r="P35" s="14">
        <v>96.9</v>
      </c>
      <c r="Q35" s="14">
        <v>64.5</v>
      </c>
      <c r="R35" s="14">
        <v>14</v>
      </c>
      <c r="S35" s="14">
        <v>3.9</v>
      </c>
      <c r="T35" s="14">
        <v>2.4</v>
      </c>
      <c r="U35" s="14">
        <f>191.1</f>
        <v>191.1</v>
      </c>
      <c r="V35" s="14"/>
      <c r="W35" s="14">
        <f>2.4+1.1</f>
        <v>3.5</v>
      </c>
      <c r="X35" s="6">
        <v>10</v>
      </c>
      <c r="Y35" s="14"/>
      <c r="Z35" s="130"/>
      <c r="AA35" s="130"/>
      <c r="AB35" s="130"/>
    </row>
    <row r="36" spans="1:28" x14ac:dyDescent="0.2">
      <c r="A36" s="126">
        <v>28</v>
      </c>
      <c r="B36" s="127" t="s">
        <v>22</v>
      </c>
      <c r="C36" s="128">
        <f t="shared" si="4"/>
        <v>204.49999999999997</v>
      </c>
      <c r="D36" s="17">
        <v>152.29999999999998</v>
      </c>
      <c r="E36" s="6">
        <v>2.2000000000000002</v>
      </c>
      <c r="F36" s="128">
        <f t="shared" si="5"/>
        <v>50.000000000000007</v>
      </c>
      <c r="G36" s="14"/>
      <c r="H36" s="14">
        <v>0.2</v>
      </c>
      <c r="I36" s="14">
        <v>1</v>
      </c>
      <c r="J36" s="17">
        <v>0.6</v>
      </c>
      <c r="K36" s="14"/>
      <c r="L36" s="14">
        <v>0.6</v>
      </c>
      <c r="M36" s="14"/>
      <c r="N36" s="14">
        <v>2.5</v>
      </c>
      <c r="O36" s="128">
        <f>+ROUND(D36*0.15/100,1)</f>
        <v>0.2</v>
      </c>
      <c r="P36" s="14">
        <v>5.4</v>
      </c>
      <c r="Q36" s="14">
        <v>1.6</v>
      </c>
      <c r="R36" s="14">
        <v>0.1</v>
      </c>
      <c r="S36" s="14">
        <v>0.9</v>
      </c>
      <c r="T36" s="14">
        <v>1</v>
      </c>
      <c r="U36" s="14">
        <f>3.7+30</f>
        <v>33.700000000000003</v>
      </c>
      <c r="V36" s="14"/>
      <c r="W36" s="14">
        <v>0.7</v>
      </c>
      <c r="X36" s="6">
        <v>1.5</v>
      </c>
      <c r="Y36" s="14"/>
      <c r="Z36" s="130"/>
      <c r="AA36" s="130"/>
      <c r="AB36" s="130"/>
    </row>
    <row r="37" spans="1:28" x14ac:dyDescent="0.2">
      <c r="A37" s="126">
        <v>29</v>
      </c>
      <c r="B37" s="132" t="s">
        <v>211</v>
      </c>
      <c r="C37" s="133">
        <f t="shared" ref="C37:Y37" si="7">SUM(C18:C36)</f>
        <v>14019.050000000001</v>
      </c>
      <c r="D37" s="133">
        <f t="shared" si="7"/>
        <v>11282.799999999997</v>
      </c>
      <c r="E37" s="133">
        <f t="shared" si="7"/>
        <v>166.69999999999996</v>
      </c>
      <c r="F37" s="133">
        <f t="shared" si="7"/>
        <v>2569.5500000000002</v>
      </c>
      <c r="G37" s="133">
        <f t="shared" si="7"/>
        <v>0</v>
      </c>
      <c r="H37" s="133">
        <f t="shared" si="7"/>
        <v>12.299999999999999</v>
      </c>
      <c r="I37" s="133">
        <f t="shared" si="7"/>
        <v>36.450000000000003</v>
      </c>
      <c r="J37" s="133">
        <f t="shared" si="7"/>
        <v>300.10000000000002</v>
      </c>
      <c r="K37" s="133">
        <f t="shared" si="7"/>
        <v>1.3</v>
      </c>
      <c r="L37" s="133">
        <f t="shared" si="7"/>
        <v>8.9</v>
      </c>
      <c r="M37" s="133">
        <f t="shared" si="7"/>
        <v>0</v>
      </c>
      <c r="N37" s="133">
        <f t="shared" si="7"/>
        <v>175.5</v>
      </c>
      <c r="O37" s="133">
        <f t="shared" si="7"/>
        <v>13.4</v>
      </c>
      <c r="P37" s="133">
        <f>SUM(P18:P36)</f>
        <v>636.79999999999995</v>
      </c>
      <c r="Q37" s="133">
        <f>SUM(Q18:Q36)</f>
        <v>314.10000000000002</v>
      </c>
      <c r="R37" s="133">
        <f t="shared" si="7"/>
        <v>88.6</v>
      </c>
      <c r="S37" s="133">
        <f t="shared" si="7"/>
        <v>77.900000000000034</v>
      </c>
      <c r="T37" s="133">
        <f t="shared" si="7"/>
        <v>25</v>
      </c>
      <c r="U37" s="133">
        <f t="shared" si="7"/>
        <v>542.9</v>
      </c>
      <c r="V37" s="133">
        <f t="shared" si="7"/>
        <v>0</v>
      </c>
      <c r="W37" s="133">
        <f t="shared" si="7"/>
        <v>101.40000000000002</v>
      </c>
      <c r="X37" s="133">
        <f t="shared" si="7"/>
        <v>114.89999999999999</v>
      </c>
      <c r="Y37" s="133">
        <f t="shared" si="7"/>
        <v>120</v>
      </c>
      <c r="Z37" s="130"/>
      <c r="AA37" s="130"/>
      <c r="AB37" s="130"/>
    </row>
    <row r="38" spans="1:28" s="138" customFormat="1" x14ac:dyDescent="0.2">
      <c r="A38" s="126">
        <v>30</v>
      </c>
      <c r="B38" s="127" t="s">
        <v>60</v>
      </c>
      <c r="C38" s="128">
        <f t="shared" ref="C38:C53" si="8">+D38+E38+F38</f>
        <v>1958.2999999999997</v>
      </c>
      <c r="D38" s="17">
        <v>948.99999999999989</v>
      </c>
      <c r="E38" s="6">
        <v>13.9</v>
      </c>
      <c r="F38" s="128">
        <f t="shared" ref="F38:F53" si="9">SUM(G38:Y38)</f>
        <v>995.4</v>
      </c>
      <c r="G38" s="14"/>
      <c r="H38" s="14">
        <v>0.5</v>
      </c>
      <c r="I38" s="14">
        <v>2.5</v>
      </c>
      <c r="J38" s="6">
        <v>14.8</v>
      </c>
      <c r="K38" s="14">
        <v>1.5</v>
      </c>
      <c r="L38" s="14">
        <v>0.3</v>
      </c>
      <c r="M38" s="14"/>
      <c r="N38" s="14">
        <v>8.6999999999999993</v>
      </c>
      <c r="O38" s="128">
        <f t="shared" ref="O38:O46" si="10">+ROUND(D38*0.15/100,1)</f>
        <v>1.4</v>
      </c>
      <c r="P38" s="14">
        <v>35</v>
      </c>
      <c r="Q38" s="14">
        <f>10.1+26.5</f>
        <v>36.6</v>
      </c>
      <c r="R38" s="14">
        <v>1.6</v>
      </c>
      <c r="S38" s="14">
        <v>3</v>
      </c>
      <c r="T38" s="14">
        <v>5</v>
      </c>
      <c r="U38" s="14">
        <f>838.1+10+20</f>
        <v>868.1</v>
      </c>
      <c r="V38" s="14"/>
      <c r="W38" s="14">
        <v>6.8</v>
      </c>
      <c r="X38" s="6">
        <v>9.6</v>
      </c>
      <c r="Y38" s="14"/>
      <c r="Z38" s="130"/>
      <c r="AA38" s="130"/>
      <c r="AB38" s="130"/>
    </row>
    <row r="39" spans="1:28" s="3" customFormat="1" x14ac:dyDescent="0.2">
      <c r="A39" s="126">
        <v>31</v>
      </c>
      <c r="B39" s="127" t="s">
        <v>4</v>
      </c>
      <c r="C39" s="128">
        <f t="shared" si="8"/>
        <v>439.9</v>
      </c>
      <c r="D39" s="17">
        <v>320.2</v>
      </c>
      <c r="E39" s="6">
        <v>4.7</v>
      </c>
      <c r="F39" s="128">
        <f t="shared" si="9"/>
        <v>115</v>
      </c>
      <c r="G39" s="14"/>
      <c r="H39" s="14">
        <v>0.2</v>
      </c>
      <c r="I39" s="14">
        <v>0.5</v>
      </c>
      <c r="J39" s="14">
        <f>2+0.1+0.1</f>
        <v>2.2000000000000002</v>
      </c>
      <c r="K39" s="14">
        <v>1.2</v>
      </c>
      <c r="L39" s="14">
        <v>0.1</v>
      </c>
      <c r="M39" s="14"/>
      <c r="N39" s="14">
        <v>4</v>
      </c>
      <c r="O39" s="128">
        <f t="shared" si="10"/>
        <v>0.5</v>
      </c>
      <c r="P39" s="14">
        <v>7.7</v>
      </c>
      <c r="Q39" s="14">
        <v>1.7</v>
      </c>
      <c r="R39" s="14">
        <v>0.3</v>
      </c>
      <c r="S39" s="14">
        <v>0.8</v>
      </c>
      <c r="T39" s="14">
        <v>0.3</v>
      </c>
      <c r="U39" s="14">
        <v>87.2</v>
      </c>
      <c r="V39" s="14"/>
      <c r="W39" s="14">
        <v>5.0999999999999996</v>
      </c>
      <c r="X39" s="6">
        <v>3.2</v>
      </c>
      <c r="Y39" s="14"/>
      <c r="Z39" s="130"/>
      <c r="AA39" s="130"/>
      <c r="AB39" s="130"/>
    </row>
    <row r="40" spans="1:28" s="3" customFormat="1" x14ac:dyDescent="0.2">
      <c r="A40" s="126">
        <v>32</v>
      </c>
      <c r="B40" s="127" t="s">
        <v>5</v>
      </c>
      <c r="C40" s="128">
        <f t="shared" si="8"/>
        <v>338.59999999999997</v>
      </c>
      <c r="D40" s="17">
        <v>229.79999999999998</v>
      </c>
      <c r="E40" s="6">
        <v>3.4</v>
      </c>
      <c r="F40" s="128">
        <f t="shared" si="9"/>
        <v>105.39999999999999</v>
      </c>
      <c r="G40" s="14"/>
      <c r="H40" s="14">
        <v>0.2</v>
      </c>
      <c r="I40" s="14">
        <v>0.4</v>
      </c>
      <c r="J40" s="14">
        <f>0.1+0.5</f>
        <v>0.6</v>
      </c>
      <c r="K40" s="14">
        <v>0.5</v>
      </c>
      <c r="L40" s="14">
        <v>0.1</v>
      </c>
      <c r="M40" s="14"/>
      <c r="N40" s="14">
        <v>4.4000000000000004</v>
      </c>
      <c r="O40" s="128">
        <f t="shared" si="10"/>
        <v>0.3</v>
      </c>
      <c r="P40" s="14">
        <v>10.9</v>
      </c>
      <c r="Q40" s="14">
        <f>1.8+6</f>
        <v>7.8</v>
      </c>
      <c r="R40" s="14">
        <v>0.3</v>
      </c>
      <c r="S40" s="14">
        <v>1.2</v>
      </c>
      <c r="T40" s="14">
        <v>0.3</v>
      </c>
      <c r="U40" s="14">
        <v>74.5</v>
      </c>
      <c r="V40" s="14"/>
      <c r="W40" s="14">
        <v>1.6</v>
      </c>
      <c r="X40" s="6">
        <v>2.2999999999999998</v>
      </c>
      <c r="Y40" s="14"/>
      <c r="Z40" s="130"/>
      <c r="AA40" s="130"/>
      <c r="AB40" s="130"/>
    </row>
    <row r="41" spans="1:28" s="3" customFormat="1" x14ac:dyDescent="0.2">
      <c r="A41" s="126">
        <v>33</v>
      </c>
      <c r="B41" s="127" t="s">
        <v>6</v>
      </c>
      <c r="C41" s="128">
        <f t="shared" si="8"/>
        <v>343.2</v>
      </c>
      <c r="D41" s="17">
        <v>233.2</v>
      </c>
      <c r="E41" s="6">
        <v>3.4</v>
      </c>
      <c r="F41" s="128">
        <f t="shared" si="9"/>
        <v>106.60000000000001</v>
      </c>
      <c r="G41" s="134"/>
      <c r="H41" s="135">
        <v>0.1</v>
      </c>
      <c r="I41" s="135">
        <v>0.4</v>
      </c>
      <c r="J41" s="135">
        <f>0.5+0.1</f>
        <v>0.6</v>
      </c>
      <c r="K41" s="135">
        <v>1.5</v>
      </c>
      <c r="L41" s="135">
        <v>0.1</v>
      </c>
      <c r="M41" s="134"/>
      <c r="N41" s="135">
        <v>4</v>
      </c>
      <c r="O41" s="128">
        <f t="shared" si="10"/>
        <v>0.3</v>
      </c>
      <c r="P41" s="135">
        <v>5</v>
      </c>
      <c r="Q41" s="135">
        <f>9.7+7.2</f>
        <v>16.899999999999999</v>
      </c>
      <c r="R41" s="135">
        <v>0.3</v>
      </c>
      <c r="S41" s="135">
        <v>0.9</v>
      </c>
      <c r="T41" s="135">
        <v>0.3</v>
      </c>
      <c r="U41" s="135">
        <v>72.5</v>
      </c>
      <c r="V41" s="135"/>
      <c r="W41" s="135">
        <v>1.3</v>
      </c>
      <c r="X41" s="6">
        <v>2.4</v>
      </c>
      <c r="Y41" s="135"/>
      <c r="Z41" s="130"/>
      <c r="AA41" s="130"/>
      <c r="AB41" s="130"/>
    </row>
    <row r="42" spans="1:28" s="5" customFormat="1" x14ac:dyDescent="0.2">
      <c r="A42" s="126">
        <v>34</v>
      </c>
      <c r="B42" s="127" t="s">
        <v>7</v>
      </c>
      <c r="C42" s="128">
        <f t="shared" si="8"/>
        <v>250.6</v>
      </c>
      <c r="D42" s="17">
        <v>169.4</v>
      </c>
      <c r="E42" s="6">
        <v>2.5</v>
      </c>
      <c r="F42" s="128">
        <f t="shared" si="9"/>
        <v>78.699999999999989</v>
      </c>
      <c r="G42" s="14"/>
      <c r="H42" s="14">
        <v>0.1</v>
      </c>
      <c r="I42" s="14">
        <v>0.4</v>
      </c>
      <c r="J42" s="14">
        <f>0.5+0.1</f>
        <v>0.6</v>
      </c>
      <c r="K42" s="14">
        <v>3</v>
      </c>
      <c r="L42" s="14">
        <v>0.1</v>
      </c>
      <c r="M42" s="14"/>
      <c r="N42" s="14">
        <v>3.1</v>
      </c>
      <c r="O42" s="128">
        <f t="shared" si="10"/>
        <v>0.3</v>
      </c>
      <c r="P42" s="14"/>
      <c r="Q42" s="14"/>
      <c r="R42" s="14"/>
      <c r="S42" s="14">
        <v>0.7</v>
      </c>
      <c r="T42" s="14">
        <v>0.3</v>
      </c>
      <c r="U42" s="14">
        <v>67.099999999999994</v>
      </c>
      <c r="V42" s="14"/>
      <c r="W42" s="14">
        <v>1.3</v>
      </c>
      <c r="X42" s="6">
        <v>1.7</v>
      </c>
      <c r="Y42" s="14"/>
      <c r="Z42" s="130"/>
      <c r="AA42" s="130"/>
      <c r="AB42" s="130"/>
    </row>
    <row r="43" spans="1:28" s="5" customFormat="1" x14ac:dyDescent="0.2">
      <c r="A43" s="126">
        <v>35</v>
      </c>
      <c r="B43" s="127" t="s">
        <v>8</v>
      </c>
      <c r="C43" s="128">
        <f t="shared" si="8"/>
        <v>172.60000000000002</v>
      </c>
      <c r="D43" s="17">
        <v>131.4</v>
      </c>
      <c r="E43" s="6">
        <v>1.9</v>
      </c>
      <c r="F43" s="128">
        <f t="shared" si="9"/>
        <v>39.299999999999997</v>
      </c>
      <c r="G43" s="135"/>
      <c r="H43" s="135">
        <v>0.1</v>
      </c>
      <c r="I43" s="135">
        <v>0.2</v>
      </c>
      <c r="J43" s="135">
        <v>0.5</v>
      </c>
      <c r="K43" s="135"/>
      <c r="L43" s="135">
        <v>0.1</v>
      </c>
      <c r="M43" s="135"/>
      <c r="N43" s="135">
        <v>2.6</v>
      </c>
      <c r="O43" s="128">
        <f t="shared" si="10"/>
        <v>0.2</v>
      </c>
      <c r="P43" s="135">
        <v>0</v>
      </c>
      <c r="Q43" s="135">
        <f>1.1+0.9</f>
        <v>2</v>
      </c>
      <c r="R43" s="135">
        <v>0.3</v>
      </c>
      <c r="S43" s="135">
        <v>0.3</v>
      </c>
      <c r="T43" s="135">
        <v>0.2</v>
      </c>
      <c r="U43" s="135">
        <v>28.4</v>
      </c>
      <c r="V43" s="135"/>
      <c r="W43" s="135">
        <v>3.1</v>
      </c>
      <c r="X43" s="6">
        <v>1.3</v>
      </c>
      <c r="Y43" s="135"/>
      <c r="Z43" s="130"/>
      <c r="AA43" s="130"/>
      <c r="AB43" s="130"/>
    </row>
    <row r="44" spans="1:28" s="5" customFormat="1" x14ac:dyDescent="0.2">
      <c r="A44" s="126">
        <v>36</v>
      </c>
      <c r="B44" s="137" t="s">
        <v>212</v>
      </c>
      <c r="C44" s="128">
        <f t="shared" si="8"/>
        <v>1711.9399999999996</v>
      </c>
      <c r="D44" s="17">
        <v>1450.4999999999995</v>
      </c>
      <c r="E44" s="6">
        <v>21.2</v>
      </c>
      <c r="F44" s="128">
        <f t="shared" si="9"/>
        <v>240.24</v>
      </c>
      <c r="G44" s="14"/>
      <c r="H44" s="14">
        <v>0.7</v>
      </c>
      <c r="I44" s="14">
        <v>13.34</v>
      </c>
      <c r="J44" s="14">
        <v>5</v>
      </c>
      <c r="K44" s="14"/>
      <c r="L44" s="14">
        <v>1.7</v>
      </c>
      <c r="M44" s="14"/>
      <c r="N44" s="14">
        <v>7.4</v>
      </c>
      <c r="O44" s="128">
        <f t="shared" si="10"/>
        <v>2.2000000000000002</v>
      </c>
      <c r="P44" s="14">
        <v>26.8</v>
      </c>
      <c r="Q44" s="14">
        <f>2.2+13.8</f>
        <v>16</v>
      </c>
      <c r="R44" s="14">
        <v>2.5</v>
      </c>
      <c r="S44" s="14">
        <v>2.8</v>
      </c>
      <c r="T44" s="14">
        <v>4.7</v>
      </c>
      <c r="U44" s="14">
        <f>124.4+12.5</f>
        <v>136.9</v>
      </c>
      <c r="V44" s="14"/>
      <c r="W44" s="14">
        <v>5.5</v>
      </c>
      <c r="X44" s="6">
        <v>14.7</v>
      </c>
      <c r="Y44" s="14"/>
      <c r="Z44" s="130"/>
      <c r="AA44" s="130"/>
      <c r="AB44" s="130"/>
    </row>
    <row r="45" spans="1:28" s="5" customFormat="1" x14ac:dyDescent="0.2">
      <c r="A45" s="126">
        <v>37</v>
      </c>
      <c r="B45" s="127" t="s">
        <v>0</v>
      </c>
      <c r="C45" s="128">
        <f t="shared" si="8"/>
        <v>916.4000000000002</v>
      </c>
      <c r="D45" s="17">
        <v>729.50000000000011</v>
      </c>
      <c r="E45" s="6">
        <v>10.7</v>
      </c>
      <c r="F45" s="128">
        <f t="shared" si="9"/>
        <v>176.20000000000002</v>
      </c>
      <c r="G45" s="14"/>
      <c r="H45" s="14">
        <v>0.3</v>
      </c>
      <c r="I45" s="14">
        <v>3.4</v>
      </c>
      <c r="J45" s="14">
        <v>1.6</v>
      </c>
      <c r="K45" s="14"/>
      <c r="L45" s="14">
        <v>0.2</v>
      </c>
      <c r="M45" s="14"/>
      <c r="N45" s="14">
        <v>6.6</v>
      </c>
      <c r="O45" s="128">
        <f t="shared" si="10"/>
        <v>1.1000000000000001</v>
      </c>
      <c r="P45" s="14">
        <v>18</v>
      </c>
      <c r="Q45" s="14">
        <v>13.3</v>
      </c>
      <c r="R45" s="14">
        <v>1.8</v>
      </c>
      <c r="S45" s="14">
        <v>3.1</v>
      </c>
      <c r="T45" s="14">
        <v>2.7</v>
      </c>
      <c r="U45" s="14">
        <f>108.7+5</f>
        <v>113.7</v>
      </c>
      <c r="V45" s="14"/>
      <c r="W45" s="14">
        <v>3</v>
      </c>
      <c r="X45" s="6">
        <v>7.4</v>
      </c>
      <c r="Y45" s="14"/>
      <c r="Z45" s="130"/>
      <c r="AA45" s="130"/>
      <c r="AB45" s="130"/>
    </row>
    <row r="46" spans="1:28" s="5" customFormat="1" x14ac:dyDescent="0.2">
      <c r="A46" s="126">
        <v>38</v>
      </c>
      <c r="B46" s="127" t="s">
        <v>1</v>
      </c>
      <c r="C46" s="128">
        <f t="shared" si="8"/>
        <v>90</v>
      </c>
      <c r="D46" s="17">
        <v>21.900000000000002</v>
      </c>
      <c r="E46" s="6">
        <v>0.3</v>
      </c>
      <c r="F46" s="128">
        <f t="shared" si="9"/>
        <v>67.8</v>
      </c>
      <c r="G46" s="14"/>
      <c r="H46" s="14"/>
      <c r="I46" s="14">
        <v>0.5</v>
      </c>
      <c r="J46" s="14"/>
      <c r="K46" s="14"/>
      <c r="L46" s="14"/>
      <c r="M46" s="14"/>
      <c r="N46" s="14"/>
      <c r="O46" s="128">
        <f t="shared" si="10"/>
        <v>0</v>
      </c>
      <c r="P46" s="14"/>
      <c r="Q46" s="14"/>
      <c r="R46" s="14"/>
      <c r="S46" s="14"/>
      <c r="T46" s="14">
        <v>1</v>
      </c>
      <c r="U46" s="14">
        <v>6.1</v>
      </c>
      <c r="V46" s="14"/>
      <c r="W46" s="14">
        <v>0</v>
      </c>
      <c r="X46" s="6">
        <v>0.2</v>
      </c>
      <c r="Y46" s="14">
        <v>60</v>
      </c>
      <c r="Z46" s="130"/>
      <c r="AA46" s="130"/>
      <c r="AB46" s="130"/>
    </row>
    <row r="47" spans="1:28" x14ac:dyDescent="0.2">
      <c r="A47" s="126">
        <v>39</v>
      </c>
      <c r="B47" s="127" t="s">
        <v>38</v>
      </c>
      <c r="C47" s="128">
        <f t="shared" si="8"/>
        <v>2000.1</v>
      </c>
      <c r="D47" s="17">
        <v>1486</v>
      </c>
      <c r="E47" s="139">
        <v>21.8</v>
      </c>
      <c r="F47" s="128">
        <f t="shared" si="9"/>
        <v>492.3</v>
      </c>
      <c r="G47" s="14"/>
      <c r="H47" s="14">
        <v>0.4</v>
      </c>
      <c r="I47" s="14">
        <v>0.8</v>
      </c>
      <c r="J47" s="14"/>
      <c r="K47" s="14"/>
      <c r="L47" s="14">
        <v>0.1</v>
      </c>
      <c r="M47" s="14"/>
      <c r="N47" s="14">
        <v>3.8</v>
      </c>
      <c r="O47" s="128">
        <v>0.9</v>
      </c>
      <c r="P47" s="14">
        <v>13.5</v>
      </c>
      <c r="Q47" s="14">
        <v>3.9</v>
      </c>
      <c r="R47" s="14">
        <v>3</v>
      </c>
      <c r="S47" s="14">
        <v>1.3</v>
      </c>
      <c r="T47" s="14">
        <v>1</v>
      </c>
      <c r="U47" s="14"/>
      <c r="V47" s="14">
        <v>245.5</v>
      </c>
      <c r="W47" s="14">
        <v>3.1</v>
      </c>
      <c r="X47" s="6">
        <v>15</v>
      </c>
      <c r="Y47" s="14">
        <v>200</v>
      </c>
      <c r="Z47" s="130"/>
      <c r="AA47" s="130"/>
      <c r="AB47" s="130"/>
    </row>
    <row r="48" spans="1:28" x14ac:dyDescent="0.2">
      <c r="A48" s="126">
        <v>40</v>
      </c>
      <c r="B48" s="127" t="s">
        <v>3</v>
      </c>
      <c r="C48" s="128">
        <f t="shared" si="8"/>
        <v>222.3</v>
      </c>
      <c r="D48" s="17">
        <v>145.4</v>
      </c>
      <c r="E48" s="139">
        <v>2.1</v>
      </c>
      <c r="F48" s="128">
        <f t="shared" si="9"/>
        <v>74.8</v>
      </c>
      <c r="G48" s="140">
        <f>87.6-80.6</f>
        <v>7</v>
      </c>
      <c r="H48" s="140">
        <v>6.3</v>
      </c>
      <c r="I48" s="140">
        <v>0.8</v>
      </c>
      <c r="J48" s="140">
        <v>7.1</v>
      </c>
      <c r="K48" s="14">
        <v>5.5</v>
      </c>
      <c r="L48" s="14">
        <v>0.1</v>
      </c>
      <c r="M48" s="14"/>
      <c r="N48" s="14">
        <v>3.7</v>
      </c>
      <c r="O48" s="128">
        <v>0.3</v>
      </c>
      <c r="P48" s="14">
        <v>16.7</v>
      </c>
      <c r="Q48" s="14">
        <f>24.1-20</f>
        <v>4.1000000000000014</v>
      </c>
      <c r="R48" s="14">
        <v>6.5</v>
      </c>
      <c r="S48" s="14">
        <v>3.8</v>
      </c>
      <c r="T48" s="14">
        <v>0.5</v>
      </c>
      <c r="U48" s="14">
        <v>1.3</v>
      </c>
      <c r="V48" s="14"/>
      <c r="W48" s="14">
        <v>9.6</v>
      </c>
      <c r="X48" s="6">
        <v>1.5</v>
      </c>
      <c r="Y48" s="14"/>
      <c r="Z48" s="130"/>
      <c r="AA48" s="130"/>
      <c r="AB48" s="130"/>
    </row>
    <row r="49" spans="1:28" x14ac:dyDescent="0.2">
      <c r="A49" s="126">
        <v>41</v>
      </c>
      <c r="B49" s="127" t="s">
        <v>18</v>
      </c>
      <c r="C49" s="128">
        <f t="shared" si="8"/>
        <v>627.80000000000007</v>
      </c>
      <c r="D49" s="17">
        <v>527.1</v>
      </c>
      <c r="E49" s="139">
        <v>7.7</v>
      </c>
      <c r="F49" s="128">
        <f t="shared" si="9"/>
        <v>92.999999999999986</v>
      </c>
      <c r="G49" s="14">
        <f>78.8-70.9</f>
        <v>7.8999999999999915</v>
      </c>
      <c r="H49" s="14">
        <v>6.5</v>
      </c>
      <c r="I49" s="14">
        <v>1.3</v>
      </c>
      <c r="J49" s="14">
        <f>1.6+1.6</f>
        <v>3.2</v>
      </c>
      <c r="K49" s="14">
        <v>5.2</v>
      </c>
      <c r="L49" s="14">
        <v>0.1</v>
      </c>
      <c r="M49" s="14"/>
      <c r="N49" s="14">
        <v>3.9</v>
      </c>
      <c r="O49" s="128">
        <v>0.4</v>
      </c>
      <c r="P49" s="14">
        <v>8.4</v>
      </c>
      <c r="Q49" s="14">
        <v>27.1</v>
      </c>
      <c r="R49" s="14">
        <v>7.3</v>
      </c>
      <c r="S49" s="14">
        <v>4.9000000000000004</v>
      </c>
      <c r="T49" s="14">
        <v>0.3</v>
      </c>
      <c r="U49" s="14">
        <f>5+0.1</f>
        <v>5.0999999999999996</v>
      </c>
      <c r="V49" s="14"/>
      <c r="W49" s="14">
        <v>6.1</v>
      </c>
      <c r="X49" s="6">
        <v>5.3</v>
      </c>
      <c r="Y49" s="14"/>
      <c r="Z49" s="130"/>
      <c r="AA49" s="130"/>
      <c r="AB49" s="130"/>
    </row>
    <row r="50" spans="1:28" s="5" customFormat="1" x14ac:dyDescent="0.2">
      <c r="A50" s="126">
        <v>42</v>
      </c>
      <c r="B50" s="127" t="s">
        <v>97</v>
      </c>
      <c r="C50" s="128">
        <f t="shared" si="8"/>
        <v>574.60000000000014</v>
      </c>
      <c r="D50" s="17">
        <v>484.20000000000005</v>
      </c>
      <c r="E50" s="139">
        <v>7.1</v>
      </c>
      <c r="F50" s="128">
        <f t="shared" si="9"/>
        <v>83.300000000000011</v>
      </c>
      <c r="G50" s="14">
        <f>75.3-65.3</f>
        <v>10</v>
      </c>
      <c r="H50" s="14">
        <v>5.8</v>
      </c>
      <c r="I50" s="14">
        <v>1.3</v>
      </c>
      <c r="J50" s="14">
        <v>4.8</v>
      </c>
      <c r="K50" s="14">
        <v>4.8</v>
      </c>
      <c r="L50" s="14">
        <v>0.1</v>
      </c>
      <c r="M50" s="14"/>
      <c r="N50" s="14">
        <v>3.6</v>
      </c>
      <c r="O50" s="128">
        <v>0.3</v>
      </c>
      <c r="P50" s="14">
        <v>9.5</v>
      </c>
      <c r="Q50" s="14">
        <f>24-10</f>
        <v>14</v>
      </c>
      <c r="R50" s="14">
        <v>6.7</v>
      </c>
      <c r="S50" s="14">
        <v>4.0999999999999996</v>
      </c>
      <c r="T50" s="14">
        <v>0.3</v>
      </c>
      <c r="U50" s="14">
        <f>0.1+2.1</f>
        <v>2.2000000000000002</v>
      </c>
      <c r="V50" s="14"/>
      <c r="W50" s="14">
        <v>10.9</v>
      </c>
      <c r="X50" s="6">
        <v>4.9000000000000004</v>
      </c>
      <c r="Y50" s="14"/>
      <c r="Z50" s="130"/>
      <c r="AA50" s="130"/>
      <c r="AB50" s="130"/>
    </row>
    <row r="51" spans="1:28" x14ac:dyDescent="0.2">
      <c r="A51" s="126">
        <v>43</v>
      </c>
      <c r="B51" s="127" t="s">
        <v>37</v>
      </c>
      <c r="C51" s="131">
        <f t="shared" si="8"/>
        <v>1910.8</v>
      </c>
      <c r="D51" s="17">
        <v>1428.3999999999999</v>
      </c>
      <c r="E51" s="139">
        <v>20.9</v>
      </c>
      <c r="F51" s="128">
        <f t="shared" si="9"/>
        <v>461.49999999999994</v>
      </c>
      <c r="G51" s="67">
        <f>18.3-18.3</f>
        <v>0</v>
      </c>
      <c r="H51" s="67">
        <f>0.4+1.4+0.3</f>
        <v>2.0999999999999996</v>
      </c>
      <c r="I51" s="67">
        <v>2.2999999999999998</v>
      </c>
      <c r="J51" s="6">
        <f>45.3+24+2+2.3</f>
        <v>73.599999999999994</v>
      </c>
      <c r="K51" s="67">
        <v>1.1000000000000001</v>
      </c>
      <c r="L51" s="67">
        <v>0.1</v>
      </c>
      <c r="M51" s="67"/>
      <c r="N51" s="67">
        <f>3.5+1.1+0.4</f>
        <v>5</v>
      </c>
      <c r="O51" s="128">
        <f>+ROUND(D51*0.15/100,1)</f>
        <v>2.1</v>
      </c>
      <c r="P51" s="67">
        <v>19.100000000000001</v>
      </c>
      <c r="Q51" s="67">
        <v>7.8</v>
      </c>
      <c r="R51" s="67">
        <v>6</v>
      </c>
      <c r="S51" s="67">
        <v>5.9</v>
      </c>
      <c r="T51" s="67">
        <v>0.5</v>
      </c>
      <c r="U51" s="67">
        <v>310.3</v>
      </c>
      <c r="V51" s="67"/>
      <c r="W51" s="67">
        <v>11.2</v>
      </c>
      <c r="X51" s="6">
        <v>14.4</v>
      </c>
      <c r="Y51" s="67"/>
      <c r="Z51" s="130"/>
      <c r="AA51" s="130"/>
      <c r="AB51" s="130"/>
    </row>
    <row r="52" spans="1:28" x14ac:dyDescent="0.2">
      <c r="A52" s="126">
        <v>44</v>
      </c>
      <c r="B52" s="127" t="s">
        <v>213</v>
      </c>
      <c r="C52" s="128">
        <f t="shared" si="8"/>
        <v>159.9</v>
      </c>
      <c r="D52" s="17">
        <v>117</v>
      </c>
      <c r="E52" s="6">
        <v>1.7</v>
      </c>
      <c r="F52" s="128">
        <f t="shared" si="9"/>
        <v>41.2</v>
      </c>
      <c r="G52" s="14"/>
      <c r="H52" s="14"/>
      <c r="I52" s="14"/>
      <c r="J52" s="14"/>
      <c r="K52" s="14"/>
      <c r="L52" s="14"/>
      <c r="M52" s="14"/>
      <c r="N52" s="14"/>
      <c r="O52" s="128"/>
      <c r="P52" s="14"/>
      <c r="Q52" s="14"/>
      <c r="R52" s="14"/>
      <c r="S52" s="14"/>
      <c r="T52" s="14"/>
      <c r="U52" s="14">
        <f>10+30</f>
        <v>40</v>
      </c>
      <c r="V52" s="14"/>
      <c r="W52" s="14">
        <v>0</v>
      </c>
      <c r="X52" s="6">
        <v>1.2</v>
      </c>
      <c r="Y52" s="14"/>
      <c r="Z52" s="130"/>
      <c r="AA52" s="130"/>
      <c r="AB52" s="130"/>
    </row>
    <row r="53" spans="1:28" x14ac:dyDescent="0.2">
      <c r="A53" s="126">
        <v>45</v>
      </c>
      <c r="B53" s="127" t="s">
        <v>23</v>
      </c>
      <c r="C53" s="128">
        <f t="shared" si="8"/>
        <v>228.1</v>
      </c>
      <c r="D53" s="17">
        <v>208.9</v>
      </c>
      <c r="E53" s="6">
        <v>3.1</v>
      </c>
      <c r="F53" s="128">
        <f t="shared" si="9"/>
        <v>16.100000000000001</v>
      </c>
      <c r="G53" s="14"/>
      <c r="H53" s="14">
        <v>0.1</v>
      </c>
      <c r="I53" s="14">
        <v>0.2</v>
      </c>
      <c r="J53" s="14">
        <v>1</v>
      </c>
      <c r="K53" s="14"/>
      <c r="L53" s="14">
        <v>0.8</v>
      </c>
      <c r="M53" s="14"/>
      <c r="N53" s="14">
        <v>0.2</v>
      </c>
      <c r="O53" s="128">
        <v>2.6</v>
      </c>
      <c r="P53" s="14">
        <v>1.1000000000000001</v>
      </c>
      <c r="Q53" s="14">
        <v>1.2</v>
      </c>
      <c r="R53" s="14">
        <v>0.2</v>
      </c>
      <c r="S53" s="14">
        <v>0.4</v>
      </c>
      <c r="T53" s="14">
        <v>1.9</v>
      </c>
      <c r="U53" s="14">
        <v>2.8</v>
      </c>
      <c r="V53" s="14"/>
      <c r="W53" s="14">
        <v>0</v>
      </c>
      <c r="X53" s="6">
        <v>2.1</v>
      </c>
      <c r="Y53" s="14">
        <v>1.5</v>
      </c>
      <c r="Z53" s="130"/>
      <c r="AA53" s="130"/>
      <c r="AB53" s="130"/>
    </row>
    <row r="54" spans="1:28" s="5" customFormat="1" x14ac:dyDescent="0.2">
      <c r="A54" s="126">
        <v>46</v>
      </c>
      <c r="B54" s="132" t="s">
        <v>214</v>
      </c>
      <c r="C54" s="133">
        <f t="shared" ref="C54:Y54" si="11">SUM(C38:C53)</f>
        <v>11945.139999999998</v>
      </c>
      <c r="D54" s="133">
        <f t="shared" si="11"/>
        <v>8631.9</v>
      </c>
      <c r="E54" s="133">
        <f t="shared" si="11"/>
        <v>126.39999999999999</v>
      </c>
      <c r="F54" s="133">
        <f t="shared" si="11"/>
        <v>3186.84</v>
      </c>
      <c r="G54" s="133">
        <f t="shared" si="11"/>
        <v>24.899999999999991</v>
      </c>
      <c r="H54" s="133">
        <f t="shared" si="11"/>
        <v>23.4</v>
      </c>
      <c r="I54" s="133">
        <f t="shared" si="11"/>
        <v>28.340000000000003</v>
      </c>
      <c r="J54" s="133">
        <f t="shared" si="11"/>
        <v>115.6</v>
      </c>
      <c r="K54" s="133">
        <f t="shared" si="11"/>
        <v>24.3</v>
      </c>
      <c r="L54" s="133">
        <f t="shared" si="11"/>
        <v>4.0000000000000009</v>
      </c>
      <c r="M54" s="133">
        <f t="shared" si="11"/>
        <v>0</v>
      </c>
      <c r="N54" s="133">
        <f t="shared" si="11"/>
        <v>61.000000000000007</v>
      </c>
      <c r="O54" s="133">
        <f t="shared" si="11"/>
        <v>12.899999999999999</v>
      </c>
      <c r="P54" s="133">
        <f>SUM(P38:P53)</f>
        <v>171.7</v>
      </c>
      <c r="Q54" s="133">
        <f t="shared" si="11"/>
        <v>152.4</v>
      </c>
      <c r="R54" s="133">
        <f t="shared" si="11"/>
        <v>36.800000000000004</v>
      </c>
      <c r="S54" s="133">
        <f t="shared" si="11"/>
        <v>33.199999999999996</v>
      </c>
      <c r="T54" s="133">
        <f t="shared" si="11"/>
        <v>19.3</v>
      </c>
      <c r="U54" s="133">
        <f t="shared" si="11"/>
        <v>1816.2</v>
      </c>
      <c r="V54" s="133">
        <f t="shared" si="11"/>
        <v>245.5</v>
      </c>
      <c r="W54" s="133">
        <f t="shared" si="11"/>
        <v>68.599999999999994</v>
      </c>
      <c r="X54" s="133">
        <f t="shared" si="11"/>
        <v>87.200000000000017</v>
      </c>
      <c r="Y54" s="133">
        <f t="shared" si="11"/>
        <v>261.5</v>
      </c>
      <c r="Z54" s="130"/>
      <c r="AA54" s="130"/>
      <c r="AB54" s="130"/>
    </row>
    <row r="55" spans="1:28" x14ac:dyDescent="0.2">
      <c r="A55" s="126">
        <v>47</v>
      </c>
      <c r="B55" s="141" t="s">
        <v>215</v>
      </c>
      <c r="C55" s="128">
        <f>+D55+E55+F55</f>
        <v>15429.899999999998</v>
      </c>
      <c r="D55" s="135">
        <f>4058.7+736.7+200</f>
        <v>4995.3999999999996</v>
      </c>
      <c r="E55" s="128">
        <f>59+5.4+2.9</f>
        <v>67.300000000000011</v>
      </c>
      <c r="F55" s="128">
        <f>SUM(G55:Y55)</f>
        <v>10367.199999999999</v>
      </c>
      <c r="G55" s="135"/>
      <c r="H55" s="135">
        <v>4.5</v>
      </c>
      <c r="I55" s="135">
        <v>24.4</v>
      </c>
      <c r="J55" s="135">
        <v>242.8</v>
      </c>
      <c r="K55" s="135">
        <v>14</v>
      </c>
      <c r="L55" s="135">
        <v>13.8</v>
      </c>
      <c r="M55" s="135">
        <f>417+46.5+264.2+150+26.7</f>
        <v>904.40000000000009</v>
      </c>
      <c r="N55" s="135">
        <v>673.6</v>
      </c>
      <c r="O55" s="128">
        <f>36.5+11</f>
        <v>47.5</v>
      </c>
      <c r="P55" s="135">
        <v>41.3</v>
      </c>
      <c r="Q55" s="135">
        <f>40</f>
        <v>40</v>
      </c>
      <c r="R55" s="135">
        <v>4.8</v>
      </c>
      <c r="S55" s="135">
        <v>12.4</v>
      </c>
      <c r="T55" s="135">
        <f>437+50</f>
        <v>487</v>
      </c>
      <c r="U55" s="135">
        <f>3106.2+144.3+34.5+6-18+138+2+0.9+15+29.5-26.7+2.6-3-0.5</f>
        <v>3430.8</v>
      </c>
      <c r="V55" s="135">
        <v>3859.5</v>
      </c>
      <c r="W55" s="135"/>
      <c r="X55" s="128">
        <f>41+7.4</f>
        <v>48.4</v>
      </c>
      <c r="Y55" s="135">
        <f>513+5</f>
        <v>518</v>
      </c>
      <c r="Z55" s="130"/>
      <c r="AA55" s="130"/>
      <c r="AB55" s="130"/>
    </row>
    <row r="56" spans="1:28" x14ac:dyDescent="0.2">
      <c r="A56" s="126">
        <v>48</v>
      </c>
      <c r="B56" s="142" t="s">
        <v>24</v>
      </c>
      <c r="C56" s="133">
        <f>+C57+C58</f>
        <v>3159.5000000000005</v>
      </c>
      <c r="D56" s="133">
        <f>+D57+D58</f>
        <v>600.5</v>
      </c>
      <c r="E56" s="133">
        <f>+E57+E58</f>
        <v>8.8000000000000007</v>
      </c>
      <c r="F56" s="133">
        <f>+F57+F58</f>
        <v>2550.2000000000003</v>
      </c>
      <c r="G56" s="133">
        <f>+G57+G58</f>
        <v>0</v>
      </c>
      <c r="H56" s="133">
        <f t="shared" ref="H56:Y56" si="12">+H57+H58</f>
        <v>0.3</v>
      </c>
      <c r="I56" s="133">
        <f t="shared" si="12"/>
        <v>2.2999999999999998</v>
      </c>
      <c r="J56" s="133">
        <f t="shared" si="12"/>
        <v>50.8</v>
      </c>
      <c r="K56" s="133">
        <f t="shared" si="12"/>
        <v>0</v>
      </c>
      <c r="L56" s="133">
        <f t="shared" si="12"/>
        <v>0.1</v>
      </c>
      <c r="M56" s="133">
        <f t="shared" si="12"/>
        <v>1962.2</v>
      </c>
      <c r="N56" s="133">
        <f t="shared" si="12"/>
        <v>332.6</v>
      </c>
      <c r="O56" s="133">
        <f t="shared" si="12"/>
        <v>0.9</v>
      </c>
      <c r="P56" s="133">
        <f t="shared" si="12"/>
        <v>15</v>
      </c>
      <c r="Q56" s="133">
        <f t="shared" si="12"/>
        <v>3.9000000000000004</v>
      </c>
      <c r="R56" s="133">
        <f t="shared" si="12"/>
        <v>2.6</v>
      </c>
      <c r="S56" s="133">
        <f t="shared" si="12"/>
        <v>2.6</v>
      </c>
      <c r="T56" s="133">
        <f t="shared" si="12"/>
        <v>0.4</v>
      </c>
      <c r="U56" s="133">
        <f>+U57+U58</f>
        <v>170.6</v>
      </c>
      <c r="V56" s="133">
        <f t="shared" si="12"/>
        <v>0</v>
      </c>
      <c r="W56" s="133">
        <f t="shared" si="12"/>
        <v>0</v>
      </c>
      <c r="X56" s="133">
        <f t="shared" si="12"/>
        <v>5.9</v>
      </c>
      <c r="Y56" s="133">
        <f t="shared" si="12"/>
        <v>0</v>
      </c>
      <c r="Z56" s="130"/>
      <c r="AA56" s="130"/>
      <c r="AB56" s="130"/>
    </row>
    <row r="57" spans="1:28" x14ac:dyDescent="0.2">
      <c r="A57" s="126">
        <v>49</v>
      </c>
      <c r="B57" s="143" t="s">
        <v>304</v>
      </c>
      <c r="C57" s="128">
        <f>+D57+E57+F57</f>
        <v>672.4</v>
      </c>
      <c r="D57" s="135">
        <v>600.5</v>
      </c>
      <c r="E57" s="128">
        <v>8.8000000000000007</v>
      </c>
      <c r="F57" s="128">
        <f>SUM(G57:Y57)</f>
        <v>63.1</v>
      </c>
      <c r="G57" s="135"/>
      <c r="H57" s="135">
        <v>0.3</v>
      </c>
      <c r="I57" s="135">
        <v>2.2999999999999998</v>
      </c>
      <c r="J57" s="135">
        <v>20.399999999999999</v>
      </c>
      <c r="K57" s="135"/>
      <c r="L57" s="135">
        <v>0.1</v>
      </c>
      <c r="M57" s="135"/>
      <c r="N57" s="135">
        <v>4</v>
      </c>
      <c r="O57" s="128">
        <f>+ROUND(D57*0.15/100,1)</f>
        <v>0.9</v>
      </c>
      <c r="P57" s="135">
        <v>15</v>
      </c>
      <c r="Q57" s="135">
        <f>8.9-5</f>
        <v>3.9000000000000004</v>
      </c>
      <c r="R57" s="135">
        <v>2.6</v>
      </c>
      <c r="S57" s="135">
        <v>2.6</v>
      </c>
      <c r="T57" s="135">
        <v>0.4</v>
      </c>
      <c r="U57" s="135">
        <v>4.7</v>
      </c>
      <c r="V57" s="135"/>
      <c r="W57" s="135">
        <v>0</v>
      </c>
      <c r="X57" s="128">
        <v>5.9</v>
      </c>
      <c r="Y57" s="135"/>
      <c r="Z57" s="130"/>
      <c r="AA57" s="130"/>
      <c r="AB57" s="130"/>
    </row>
    <row r="58" spans="1:28" x14ac:dyDescent="0.2">
      <c r="A58" s="126">
        <v>50</v>
      </c>
      <c r="B58" s="143" t="s">
        <v>305</v>
      </c>
      <c r="C58" s="128">
        <f>+D58+E58+F58</f>
        <v>2487.1000000000004</v>
      </c>
      <c r="D58" s="135"/>
      <c r="E58" s="135"/>
      <c r="F58" s="128">
        <f>SUM(G58:Y58)</f>
        <v>2487.1000000000004</v>
      </c>
      <c r="G58" s="135"/>
      <c r="H58" s="135"/>
      <c r="I58" s="135"/>
      <c r="J58" s="135">
        <v>30.4</v>
      </c>
      <c r="K58" s="135"/>
      <c r="L58" s="135"/>
      <c r="M58" s="135">
        <f>631+1331.2</f>
        <v>1962.2</v>
      </c>
      <c r="N58" s="135">
        <f>251+62.6+15</f>
        <v>328.6</v>
      </c>
      <c r="O58" s="135"/>
      <c r="P58" s="135"/>
      <c r="Q58" s="135"/>
      <c r="R58" s="135"/>
      <c r="S58" s="135"/>
      <c r="T58" s="135"/>
      <c r="U58" s="135">
        <f>109.7+56.2</f>
        <v>165.9</v>
      </c>
      <c r="V58" s="135"/>
      <c r="W58" s="135"/>
      <c r="X58" s="135"/>
      <c r="Y58" s="135"/>
      <c r="Z58" s="130"/>
      <c r="AA58" s="130"/>
      <c r="AB58" s="130"/>
    </row>
    <row r="59" spans="1:28" x14ac:dyDescent="0.2">
      <c r="A59" s="126">
        <v>51</v>
      </c>
      <c r="B59" s="142" t="s">
        <v>25</v>
      </c>
      <c r="C59" s="133">
        <f>+C60+C61</f>
        <v>379.8</v>
      </c>
      <c r="D59" s="133">
        <f>+D60+D61</f>
        <v>267.39999999999998</v>
      </c>
      <c r="E59" s="133">
        <f>+E60+E61</f>
        <v>4.0999999999999996</v>
      </c>
      <c r="F59" s="133">
        <f>+F60+F61</f>
        <v>108.30000000000001</v>
      </c>
      <c r="G59" s="133">
        <f t="shared" ref="G59:Y59" si="13">+G60+G61</f>
        <v>0</v>
      </c>
      <c r="H59" s="133">
        <f t="shared" si="13"/>
        <v>0.1</v>
      </c>
      <c r="I59" s="133">
        <f t="shared" si="13"/>
        <v>1.6</v>
      </c>
      <c r="J59" s="133">
        <f t="shared" si="13"/>
        <v>12.3</v>
      </c>
      <c r="K59" s="133">
        <f t="shared" si="13"/>
        <v>0</v>
      </c>
      <c r="L59" s="133">
        <f t="shared" si="13"/>
        <v>0.1</v>
      </c>
      <c r="M59" s="133">
        <f t="shared" si="13"/>
        <v>69.3</v>
      </c>
      <c r="N59" s="133">
        <f t="shared" si="13"/>
        <v>2.4</v>
      </c>
      <c r="O59" s="133">
        <f t="shared" si="13"/>
        <v>0.4</v>
      </c>
      <c r="P59" s="133">
        <f t="shared" si="13"/>
        <v>0.8</v>
      </c>
      <c r="Q59" s="133">
        <f t="shared" si="13"/>
        <v>2.1</v>
      </c>
      <c r="R59" s="133">
        <f t="shared" si="13"/>
        <v>0.7</v>
      </c>
      <c r="S59" s="133">
        <f t="shared" si="13"/>
        <v>1.5</v>
      </c>
      <c r="T59" s="133">
        <f t="shared" si="13"/>
        <v>0.4</v>
      </c>
      <c r="U59" s="133">
        <f t="shared" si="13"/>
        <v>3</v>
      </c>
      <c r="V59" s="133">
        <f t="shared" si="13"/>
        <v>0</v>
      </c>
      <c r="W59" s="133">
        <f t="shared" si="13"/>
        <v>0</v>
      </c>
      <c r="X59" s="133">
        <f t="shared" si="13"/>
        <v>2.6</v>
      </c>
      <c r="Y59" s="133">
        <f t="shared" si="13"/>
        <v>11</v>
      </c>
      <c r="Z59" s="130"/>
      <c r="AA59" s="130"/>
      <c r="AB59" s="130"/>
    </row>
    <row r="60" spans="1:28" x14ac:dyDescent="0.2">
      <c r="A60" s="126">
        <v>52</v>
      </c>
      <c r="B60" s="143" t="s">
        <v>304</v>
      </c>
      <c r="C60" s="128">
        <f>+D60+E60+F60</f>
        <v>294.10000000000002</v>
      </c>
      <c r="D60" s="135">
        <v>267.39999999999998</v>
      </c>
      <c r="E60" s="128">
        <v>4.0999999999999996</v>
      </c>
      <c r="F60" s="128">
        <f>SUM(G60:Y60)</f>
        <v>22.6</v>
      </c>
      <c r="G60" s="135"/>
      <c r="H60" s="135">
        <v>0.1</v>
      </c>
      <c r="I60" s="135">
        <v>1.6</v>
      </c>
      <c r="J60" s="135">
        <v>6.9</v>
      </c>
      <c r="K60" s="135"/>
      <c r="L60" s="135">
        <v>0.1</v>
      </c>
      <c r="M60" s="135"/>
      <c r="N60" s="135">
        <v>2.4</v>
      </c>
      <c r="O60" s="128">
        <f>+ROUND(D60*0.15/100,1)</f>
        <v>0.4</v>
      </c>
      <c r="P60" s="135">
        <v>0.8</v>
      </c>
      <c r="Q60" s="135">
        <v>2.1</v>
      </c>
      <c r="R60" s="135">
        <v>0.7</v>
      </c>
      <c r="S60" s="135">
        <v>1.5</v>
      </c>
      <c r="T60" s="135">
        <v>0.4</v>
      </c>
      <c r="U60" s="135">
        <v>3</v>
      </c>
      <c r="V60" s="135"/>
      <c r="W60" s="135">
        <v>0</v>
      </c>
      <c r="X60" s="128">
        <v>2.6</v>
      </c>
      <c r="Y60" s="135"/>
      <c r="Z60" s="130"/>
      <c r="AA60" s="130"/>
      <c r="AB60" s="130"/>
    </row>
    <row r="61" spans="1:28" x14ac:dyDescent="0.2">
      <c r="A61" s="126">
        <v>53</v>
      </c>
      <c r="B61" s="143" t="s">
        <v>305</v>
      </c>
      <c r="C61" s="128">
        <f>+D61+E61+F61</f>
        <v>85.7</v>
      </c>
      <c r="D61" s="135"/>
      <c r="E61" s="135"/>
      <c r="F61" s="128">
        <f>SUM(G61:Y61)</f>
        <v>85.7</v>
      </c>
      <c r="G61" s="135"/>
      <c r="H61" s="135"/>
      <c r="I61" s="135"/>
      <c r="J61" s="135">
        <v>5.4</v>
      </c>
      <c r="K61" s="135"/>
      <c r="L61" s="135"/>
      <c r="M61" s="135">
        <v>69.3</v>
      </c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>
        <v>11</v>
      </c>
      <c r="Z61" s="130"/>
      <c r="AA61" s="130"/>
      <c r="AB61" s="130"/>
    </row>
    <row r="62" spans="1:28" x14ac:dyDescent="0.2">
      <c r="A62" s="126">
        <v>54</v>
      </c>
      <c r="B62" s="142" t="s">
        <v>26</v>
      </c>
      <c r="C62" s="133">
        <f>+C63+C64</f>
        <v>338</v>
      </c>
      <c r="D62" s="133">
        <f t="shared" ref="D62:Y62" si="14">+D63+D64</f>
        <v>242.3</v>
      </c>
      <c r="E62" s="133">
        <f t="shared" si="14"/>
        <v>3.6</v>
      </c>
      <c r="F62" s="133">
        <f t="shared" si="14"/>
        <v>92.1</v>
      </c>
      <c r="G62" s="133">
        <f t="shared" si="14"/>
        <v>0</v>
      </c>
      <c r="H62" s="133">
        <f t="shared" si="14"/>
        <v>0.1</v>
      </c>
      <c r="I62" s="133">
        <f t="shared" si="14"/>
        <v>1.6</v>
      </c>
      <c r="J62" s="133">
        <f t="shared" si="14"/>
        <v>14.2</v>
      </c>
      <c r="K62" s="133">
        <f t="shared" si="14"/>
        <v>0</v>
      </c>
      <c r="L62" s="133">
        <f t="shared" si="14"/>
        <v>0.1</v>
      </c>
      <c r="M62" s="133">
        <f t="shared" si="14"/>
        <v>41.8</v>
      </c>
      <c r="N62" s="133">
        <f t="shared" si="14"/>
        <v>3.9</v>
      </c>
      <c r="O62" s="133">
        <f t="shared" si="14"/>
        <v>0.4</v>
      </c>
      <c r="P62" s="133">
        <f t="shared" si="14"/>
        <v>18</v>
      </c>
      <c r="Q62" s="133">
        <f t="shared" si="14"/>
        <v>5</v>
      </c>
      <c r="R62" s="133">
        <f t="shared" si="14"/>
        <v>0.5</v>
      </c>
      <c r="S62" s="133">
        <f t="shared" si="14"/>
        <v>1.2</v>
      </c>
      <c r="T62" s="133">
        <f t="shared" si="14"/>
        <v>0.3</v>
      </c>
      <c r="U62" s="133">
        <f t="shared" si="14"/>
        <v>2.7</v>
      </c>
      <c r="V62" s="133">
        <f t="shared" si="14"/>
        <v>0</v>
      </c>
      <c r="W62" s="133">
        <f t="shared" si="14"/>
        <v>0</v>
      </c>
      <c r="X62" s="133">
        <f t="shared" si="14"/>
        <v>2.2999999999999998</v>
      </c>
      <c r="Y62" s="133">
        <f t="shared" si="14"/>
        <v>0</v>
      </c>
      <c r="Z62" s="130"/>
      <c r="AA62" s="130"/>
      <c r="AB62" s="130"/>
    </row>
    <row r="63" spans="1:28" x14ac:dyDescent="0.2">
      <c r="A63" s="126">
        <v>55</v>
      </c>
      <c r="B63" s="143" t="s">
        <v>304</v>
      </c>
      <c r="C63" s="128">
        <f>+D63+E63+F63</f>
        <v>291.60000000000002</v>
      </c>
      <c r="D63" s="14">
        <v>242.3</v>
      </c>
      <c r="E63" s="128">
        <v>3.6</v>
      </c>
      <c r="F63" s="128">
        <f>SUM(G63:Y63)</f>
        <v>45.7</v>
      </c>
      <c r="G63" s="14"/>
      <c r="H63" s="14">
        <v>0.1</v>
      </c>
      <c r="I63" s="14">
        <v>1.6</v>
      </c>
      <c r="J63" s="14">
        <v>9.6</v>
      </c>
      <c r="K63" s="14"/>
      <c r="L63" s="14">
        <v>0.1</v>
      </c>
      <c r="M63" s="14"/>
      <c r="N63" s="14">
        <v>3.9</v>
      </c>
      <c r="O63" s="128">
        <f>+ROUND(D63*0.15/100,1)</f>
        <v>0.4</v>
      </c>
      <c r="P63" s="14">
        <v>18</v>
      </c>
      <c r="Q63" s="14">
        <v>5</v>
      </c>
      <c r="R63" s="14">
        <v>0.5</v>
      </c>
      <c r="S63" s="14">
        <v>1.2</v>
      </c>
      <c r="T63" s="14">
        <v>0.3</v>
      </c>
      <c r="U63" s="14">
        <v>2.7</v>
      </c>
      <c r="V63" s="14"/>
      <c r="W63" s="14"/>
      <c r="X63" s="128">
        <v>2.2999999999999998</v>
      </c>
      <c r="Y63" s="14"/>
      <c r="Z63" s="130"/>
      <c r="AA63" s="130"/>
      <c r="AB63" s="130"/>
    </row>
    <row r="64" spans="1:28" x14ac:dyDescent="0.2">
      <c r="A64" s="126">
        <v>56</v>
      </c>
      <c r="B64" s="143" t="s">
        <v>305</v>
      </c>
      <c r="C64" s="128">
        <f>+D64+E64+F64</f>
        <v>46.4</v>
      </c>
      <c r="D64" s="14"/>
      <c r="E64" s="135"/>
      <c r="F64" s="128">
        <f>SUM(G64:Y64)</f>
        <v>46.4</v>
      </c>
      <c r="G64" s="14"/>
      <c r="H64" s="14"/>
      <c r="I64" s="14"/>
      <c r="J64" s="14">
        <v>4.5999999999999996</v>
      </c>
      <c r="K64" s="14"/>
      <c r="L64" s="14"/>
      <c r="M64" s="14">
        <f>38.8+3</f>
        <v>41.8</v>
      </c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30"/>
      <c r="AA64" s="130"/>
      <c r="AB64" s="130"/>
    </row>
    <row r="65" spans="1:28" x14ac:dyDescent="0.2">
      <c r="A65" s="126">
        <v>57</v>
      </c>
      <c r="B65" s="142" t="s">
        <v>27</v>
      </c>
      <c r="C65" s="133">
        <f>+C66+C67</f>
        <v>311.8</v>
      </c>
      <c r="D65" s="133">
        <f t="shared" ref="D65:Y65" si="15">+D66+D67</f>
        <v>200.9</v>
      </c>
      <c r="E65" s="133">
        <f>+E66+E67</f>
        <v>3</v>
      </c>
      <c r="F65" s="133">
        <f t="shared" si="15"/>
        <v>107.89999999999999</v>
      </c>
      <c r="G65" s="133">
        <f t="shared" si="15"/>
        <v>0</v>
      </c>
      <c r="H65" s="133">
        <f t="shared" si="15"/>
        <v>0.1</v>
      </c>
      <c r="I65" s="133">
        <f t="shared" si="15"/>
        <v>1.6</v>
      </c>
      <c r="J65" s="133">
        <f t="shared" si="15"/>
        <v>8</v>
      </c>
      <c r="K65" s="133">
        <f t="shared" si="15"/>
        <v>0</v>
      </c>
      <c r="L65" s="133">
        <f t="shared" si="15"/>
        <v>0.1</v>
      </c>
      <c r="M65" s="133">
        <f t="shared" si="15"/>
        <v>65</v>
      </c>
      <c r="N65" s="133">
        <f t="shared" si="15"/>
        <v>20.5</v>
      </c>
      <c r="O65" s="133">
        <f t="shared" si="15"/>
        <v>0.3</v>
      </c>
      <c r="P65" s="133">
        <f t="shared" si="15"/>
        <v>2.7</v>
      </c>
      <c r="Q65" s="133">
        <f t="shared" si="15"/>
        <v>3.1999999999999993</v>
      </c>
      <c r="R65" s="133">
        <f t="shared" si="15"/>
        <v>0.7</v>
      </c>
      <c r="S65" s="133">
        <f t="shared" si="15"/>
        <v>1.2</v>
      </c>
      <c r="T65" s="133">
        <f t="shared" si="15"/>
        <v>0.4</v>
      </c>
      <c r="U65" s="133">
        <f t="shared" si="15"/>
        <v>2.2000000000000002</v>
      </c>
      <c r="V65" s="133">
        <f t="shared" si="15"/>
        <v>0</v>
      </c>
      <c r="W65" s="133">
        <f t="shared" si="15"/>
        <v>0</v>
      </c>
      <c r="X65" s="133">
        <f t="shared" si="15"/>
        <v>1.9</v>
      </c>
      <c r="Y65" s="133">
        <f t="shared" si="15"/>
        <v>0</v>
      </c>
      <c r="Z65" s="130"/>
      <c r="AA65" s="130"/>
      <c r="AB65" s="130"/>
    </row>
    <row r="66" spans="1:28" x14ac:dyDescent="0.2">
      <c r="A66" s="126">
        <v>58</v>
      </c>
      <c r="B66" s="143" t="s">
        <v>304</v>
      </c>
      <c r="C66" s="128">
        <f>+D66+E66+F66</f>
        <v>228.8</v>
      </c>
      <c r="D66" s="135">
        <v>200.9</v>
      </c>
      <c r="E66" s="128">
        <v>3</v>
      </c>
      <c r="F66" s="128">
        <f>SUM(G66:Y66)</f>
        <v>24.899999999999995</v>
      </c>
      <c r="G66" s="135"/>
      <c r="H66" s="134">
        <v>0.1</v>
      </c>
      <c r="I66" s="135">
        <v>1.6</v>
      </c>
      <c r="J66" s="135">
        <v>8</v>
      </c>
      <c r="K66" s="134"/>
      <c r="L66" s="135">
        <v>0.1</v>
      </c>
      <c r="M66" s="134"/>
      <c r="N66" s="135">
        <v>2.5</v>
      </c>
      <c r="O66" s="128">
        <f>+ROUND(D66*0.15/100,1)</f>
        <v>0.3</v>
      </c>
      <c r="P66" s="135">
        <v>2.7</v>
      </c>
      <c r="Q66" s="135">
        <f>8.2-5</f>
        <v>3.1999999999999993</v>
      </c>
      <c r="R66" s="135">
        <v>0.7</v>
      </c>
      <c r="S66" s="135">
        <v>1.2</v>
      </c>
      <c r="T66" s="135">
        <v>0.4</v>
      </c>
      <c r="U66" s="135">
        <v>2.2000000000000002</v>
      </c>
      <c r="V66" s="135"/>
      <c r="W66" s="135"/>
      <c r="X66" s="128">
        <v>1.9</v>
      </c>
      <c r="Y66" s="135"/>
      <c r="Z66" s="130"/>
      <c r="AA66" s="130"/>
      <c r="AB66" s="130"/>
    </row>
    <row r="67" spans="1:28" x14ac:dyDescent="0.2">
      <c r="A67" s="126">
        <v>59</v>
      </c>
      <c r="B67" s="143" t="s">
        <v>305</v>
      </c>
      <c r="C67" s="128">
        <f>+D67+E67+F67</f>
        <v>83</v>
      </c>
      <c r="D67" s="134"/>
      <c r="E67" s="135"/>
      <c r="F67" s="128">
        <f>SUM(G67:Y67)</f>
        <v>83</v>
      </c>
      <c r="G67" s="134"/>
      <c r="H67" s="134"/>
      <c r="I67" s="134"/>
      <c r="J67" s="134"/>
      <c r="K67" s="134"/>
      <c r="L67" s="134"/>
      <c r="M67" s="135">
        <f>60+5</f>
        <v>65</v>
      </c>
      <c r="N67" s="135">
        <v>18</v>
      </c>
      <c r="O67" s="134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0"/>
      <c r="AA67" s="130"/>
      <c r="AB67" s="130"/>
    </row>
    <row r="68" spans="1:28" x14ac:dyDescent="0.2">
      <c r="A68" s="126">
        <v>60</v>
      </c>
      <c r="B68" s="142" t="s">
        <v>28</v>
      </c>
      <c r="C68" s="133">
        <f t="shared" ref="C68:Y68" si="16">+C69+C70</f>
        <v>314.39999999999998</v>
      </c>
      <c r="D68" s="133">
        <f t="shared" si="16"/>
        <v>229.6</v>
      </c>
      <c r="E68" s="134">
        <f>+E69+E70</f>
        <v>3.6</v>
      </c>
      <c r="F68" s="133">
        <f t="shared" si="16"/>
        <v>81.199999999999989</v>
      </c>
      <c r="G68" s="133">
        <f t="shared" si="16"/>
        <v>0</v>
      </c>
      <c r="H68" s="133">
        <f t="shared" si="16"/>
        <v>0.2</v>
      </c>
      <c r="I68" s="133">
        <f t="shared" si="16"/>
        <v>1.6</v>
      </c>
      <c r="J68" s="133">
        <f t="shared" si="16"/>
        <v>10.8</v>
      </c>
      <c r="K68" s="133">
        <f t="shared" si="16"/>
        <v>0</v>
      </c>
      <c r="L68" s="133">
        <f t="shared" si="16"/>
        <v>0.1</v>
      </c>
      <c r="M68" s="133">
        <f t="shared" si="16"/>
        <v>53.5</v>
      </c>
      <c r="N68" s="133">
        <f t="shared" si="16"/>
        <v>2.7</v>
      </c>
      <c r="O68" s="133">
        <f t="shared" si="16"/>
        <v>0.3</v>
      </c>
      <c r="P68" s="133">
        <f t="shared" si="16"/>
        <v>2.8</v>
      </c>
      <c r="Q68" s="133">
        <f t="shared" si="16"/>
        <v>3.1</v>
      </c>
      <c r="R68" s="133">
        <f t="shared" si="16"/>
        <v>0.4</v>
      </c>
      <c r="S68" s="133">
        <f t="shared" si="16"/>
        <v>0.9</v>
      </c>
      <c r="T68" s="133">
        <f t="shared" si="16"/>
        <v>0.4</v>
      </c>
      <c r="U68" s="133">
        <f t="shared" si="16"/>
        <v>2.2000000000000002</v>
      </c>
      <c r="V68" s="133">
        <f t="shared" si="16"/>
        <v>0</v>
      </c>
      <c r="W68" s="133">
        <f t="shared" si="16"/>
        <v>0</v>
      </c>
      <c r="X68" s="133">
        <f t="shared" si="16"/>
        <v>2.2000000000000002</v>
      </c>
      <c r="Y68" s="133">
        <f t="shared" si="16"/>
        <v>0</v>
      </c>
      <c r="Z68" s="130"/>
      <c r="AA68" s="130"/>
      <c r="AB68" s="130"/>
    </row>
    <row r="69" spans="1:28" x14ac:dyDescent="0.2">
      <c r="A69" s="126">
        <v>61</v>
      </c>
      <c r="B69" s="143" t="s">
        <v>304</v>
      </c>
      <c r="C69" s="128">
        <f>+D69+E69+F69</f>
        <v>257.59999999999997</v>
      </c>
      <c r="D69" s="14">
        <v>229.6</v>
      </c>
      <c r="E69" s="128">
        <v>3.6</v>
      </c>
      <c r="F69" s="128">
        <f>SUM(G69:Y69)</f>
        <v>24.4</v>
      </c>
      <c r="G69" s="14"/>
      <c r="H69" s="14">
        <v>0.2</v>
      </c>
      <c r="I69" s="14">
        <v>1.6</v>
      </c>
      <c r="J69" s="14">
        <v>7.5</v>
      </c>
      <c r="K69" s="14"/>
      <c r="L69" s="14">
        <v>0.1</v>
      </c>
      <c r="M69" s="14"/>
      <c r="N69" s="14">
        <v>2.7</v>
      </c>
      <c r="O69" s="128">
        <f>+ROUND(D69*0.15/100,1)</f>
        <v>0.3</v>
      </c>
      <c r="P69" s="14">
        <v>2.8</v>
      </c>
      <c r="Q69" s="14">
        <v>3.1</v>
      </c>
      <c r="R69" s="14">
        <v>0.4</v>
      </c>
      <c r="S69" s="14">
        <v>0.9</v>
      </c>
      <c r="T69" s="14">
        <v>0.4</v>
      </c>
      <c r="U69" s="14">
        <f>2.2</f>
        <v>2.2000000000000002</v>
      </c>
      <c r="V69" s="14"/>
      <c r="W69" s="14">
        <v>0</v>
      </c>
      <c r="X69" s="128">
        <v>2.2000000000000002</v>
      </c>
      <c r="Y69" s="14"/>
      <c r="Z69" s="130"/>
      <c r="AA69" s="130"/>
      <c r="AB69" s="130"/>
    </row>
    <row r="70" spans="1:28" x14ac:dyDescent="0.2">
      <c r="A70" s="126">
        <v>62</v>
      </c>
      <c r="B70" s="143" t="s">
        <v>305</v>
      </c>
      <c r="C70" s="128">
        <f>+D70+E70+F70</f>
        <v>56.8</v>
      </c>
      <c r="D70" s="14"/>
      <c r="E70" s="135"/>
      <c r="F70" s="128">
        <f>SUM(G70:Y70)</f>
        <v>56.8</v>
      </c>
      <c r="G70" s="14"/>
      <c r="H70" s="14"/>
      <c r="I70" s="14"/>
      <c r="J70" s="14">
        <v>3.3</v>
      </c>
      <c r="K70" s="14"/>
      <c r="L70" s="14"/>
      <c r="M70" s="14">
        <v>53.5</v>
      </c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30"/>
      <c r="AA70" s="130"/>
      <c r="AB70" s="130"/>
    </row>
    <row r="71" spans="1:28" x14ac:dyDescent="0.2">
      <c r="A71" s="126">
        <v>63</v>
      </c>
      <c r="B71" s="142" t="s">
        <v>29</v>
      </c>
      <c r="C71" s="133">
        <f t="shared" ref="C71:Y71" si="17">+C72+C73</f>
        <v>316.59999999999997</v>
      </c>
      <c r="D71" s="133">
        <f t="shared" si="17"/>
        <v>197.6</v>
      </c>
      <c r="E71" s="133">
        <f t="shared" si="17"/>
        <v>3.1</v>
      </c>
      <c r="F71" s="133">
        <f t="shared" si="17"/>
        <v>115.9</v>
      </c>
      <c r="G71" s="133">
        <f t="shared" si="17"/>
        <v>0</v>
      </c>
      <c r="H71" s="133">
        <f t="shared" si="17"/>
        <v>0.2</v>
      </c>
      <c r="I71" s="133">
        <f t="shared" si="17"/>
        <v>1.6</v>
      </c>
      <c r="J71" s="133">
        <f t="shared" si="17"/>
        <v>10</v>
      </c>
      <c r="K71" s="133">
        <f t="shared" si="17"/>
        <v>0</v>
      </c>
      <c r="L71" s="133">
        <f t="shared" si="17"/>
        <v>0.1</v>
      </c>
      <c r="M71" s="133">
        <f t="shared" si="17"/>
        <v>69.5</v>
      </c>
      <c r="N71" s="133">
        <f t="shared" si="17"/>
        <v>8.1999999999999993</v>
      </c>
      <c r="O71" s="133">
        <f t="shared" si="17"/>
        <v>0.3</v>
      </c>
      <c r="P71" s="133">
        <f t="shared" si="17"/>
        <v>7.7</v>
      </c>
      <c r="Q71" s="133">
        <f t="shared" si="17"/>
        <v>2.8</v>
      </c>
      <c r="R71" s="133">
        <f t="shared" si="17"/>
        <v>7.1</v>
      </c>
      <c r="S71" s="133">
        <f t="shared" si="17"/>
        <v>0.7</v>
      </c>
      <c r="T71" s="133">
        <f t="shared" si="17"/>
        <v>0.4</v>
      </c>
      <c r="U71" s="133">
        <f t="shared" si="17"/>
        <v>5.4</v>
      </c>
      <c r="V71" s="133">
        <f t="shared" si="17"/>
        <v>0</v>
      </c>
      <c r="W71" s="133">
        <f t="shared" si="17"/>
        <v>0</v>
      </c>
      <c r="X71" s="133">
        <f t="shared" si="17"/>
        <v>1.9</v>
      </c>
      <c r="Y71" s="133">
        <f t="shared" si="17"/>
        <v>0</v>
      </c>
      <c r="Z71" s="130"/>
      <c r="AA71" s="130"/>
      <c r="AB71" s="130"/>
    </row>
    <row r="72" spans="1:28" x14ac:dyDescent="0.2">
      <c r="A72" s="126">
        <v>64</v>
      </c>
      <c r="B72" s="143" t="s">
        <v>304</v>
      </c>
      <c r="C72" s="128">
        <f>+D72+E72+F72</f>
        <v>229.39999999999998</v>
      </c>
      <c r="D72" s="135">
        <v>197.6</v>
      </c>
      <c r="E72" s="128">
        <v>3.1</v>
      </c>
      <c r="F72" s="128">
        <f>SUM(G72:Y72)</f>
        <v>28.699999999999996</v>
      </c>
      <c r="G72" s="135"/>
      <c r="H72" s="135">
        <v>0.2</v>
      </c>
      <c r="I72" s="135">
        <v>1.6</v>
      </c>
      <c r="J72" s="135">
        <v>3.8</v>
      </c>
      <c r="K72" s="134"/>
      <c r="L72" s="135">
        <v>0.1</v>
      </c>
      <c r="M72" s="134"/>
      <c r="N72" s="135">
        <v>3.2</v>
      </c>
      <c r="O72" s="128">
        <f>+ROUND(D72*0.15/100,1)</f>
        <v>0.3</v>
      </c>
      <c r="P72" s="135">
        <v>7.7</v>
      </c>
      <c r="Q72" s="135">
        <f>2.8</f>
        <v>2.8</v>
      </c>
      <c r="R72" s="135">
        <v>0.6</v>
      </c>
      <c r="S72" s="135">
        <v>0.7</v>
      </c>
      <c r="T72" s="135">
        <v>0.4</v>
      </c>
      <c r="U72" s="135">
        <v>5.4</v>
      </c>
      <c r="V72" s="135"/>
      <c r="W72" s="135">
        <v>0</v>
      </c>
      <c r="X72" s="128">
        <v>1.9</v>
      </c>
      <c r="Y72" s="135"/>
      <c r="Z72" s="130"/>
      <c r="AA72" s="130"/>
      <c r="AB72" s="130"/>
    </row>
    <row r="73" spans="1:28" x14ac:dyDescent="0.2">
      <c r="A73" s="126">
        <v>65</v>
      </c>
      <c r="B73" s="143" t="s">
        <v>305</v>
      </c>
      <c r="C73" s="128">
        <f>+D73+E73+F73</f>
        <v>87.2</v>
      </c>
      <c r="D73" s="134"/>
      <c r="E73" s="135"/>
      <c r="F73" s="128">
        <f>SUM(G73:Y73)</f>
        <v>87.2</v>
      </c>
      <c r="G73" s="134"/>
      <c r="H73" s="134"/>
      <c r="I73" s="134"/>
      <c r="J73" s="135">
        <v>6.2</v>
      </c>
      <c r="K73" s="134"/>
      <c r="L73" s="134"/>
      <c r="M73" s="135">
        <f>49.5+8+12</f>
        <v>69.5</v>
      </c>
      <c r="N73" s="135">
        <v>5</v>
      </c>
      <c r="O73" s="134"/>
      <c r="P73" s="134"/>
      <c r="Q73" s="135"/>
      <c r="R73" s="135">
        <v>6.5</v>
      </c>
      <c r="S73" s="135"/>
      <c r="T73" s="134"/>
      <c r="U73" s="135"/>
      <c r="V73" s="135"/>
      <c r="W73" s="135"/>
      <c r="X73" s="135"/>
      <c r="Y73" s="135"/>
      <c r="Z73" s="130"/>
      <c r="AA73" s="130"/>
      <c r="AB73" s="130"/>
    </row>
    <row r="74" spans="1:28" x14ac:dyDescent="0.2">
      <c r="A74" s="126">
        <v>66</v>
      </c>
      <c r="B74" s="142" t="s">
        <v>30</v>
      </c>
      <c r="C74" s="133">
        <f>+C75+C76</f>
        <v>347.6</v>
      </c>
      <c r="D74" s="133">
        <f t="shared" ref="D74:Y74" si="18">+D75+D76</f>
        <v>259</v>
      </c>
      <c r="E74" s="133">
        <f t="shared" si="18"/>
        <v>4.0999999999999996</v>
      </c>
      <c r="F74" s="133">
        <f t="shared" si="18"/>
        <v>84.5</v>
      </c>
      <c r="G74" s="133">
        <f t="shared" si="18"/>
        <v>0</v>
      </c>
      <c r="H74" s="133">
        <f t="shared" si="18"/>
        <v>0.2</v>
      </c>
      <c r="I74" s="133">
        <f t="shared" si="18"/>
        <v>1.6</v>
      </c>
      <c r="J74" s="133">
        <f t="shared" si="18"/>
        <v>12.3</v>
      </c>
      <c r="K74" s="133">
        <f t="shared" si="18"/>
        <v>0</v>
      </c>
      <c r="L74" s="133">
        <f t="shared" si="18"/>
        <v>0.1</v>
      </c>
      <c r="M74" s="133">
        <f t="shared" si="18"/>
        <v>30.1</v>
      </c>
      <c r="N74" s="133">
        <f t="shared" si="18"/>
        <v>5.9</v>
      </c>
      <c r="O74" s="133">
        <f t="shared" si="18"/>
        <v>0.4</v>
      </c>
      <c r="P74" s="133">
        <f t="shared" si="18"/>
        <v>20.5</v>
      </c>
      <c r="Q74" s="133">
        <f t="shared" si="18"/>
        <v>6.2</v>
      </c>
      <c r="R74" s="133">
        <f t="shared" si="18"/>
        <v>0.5</v>
      </c>
      <c r="S74" s="133">
        <f>+S75+S76</f>
        <v>1.6</v>
      </c>
      <c r="T74" s="133">
        <f t="shared" si="18"/>
        <v>0.3</v>
      </c>
      <c r="U74" s="133">
        <f t="shared" si="18"/>
        <v>2.2999999999999998</v>
      </c>
      <c r="V74" s="133">
        <f t="shared" si="18"/>
        <v>0</v>
      </c>
      <c r="W74" s="133">
        <f t="shared" si="18"/>
        <v>0</v>
      </c>
      <c r="X74" s="133">
        <f t="shared" si="18"/>
        <v>2.5</v>
      </c>
      <c r="Y74" s="133">
        <f t="shared" si="18"/>
        <v>0</v>
      </c>
      <c r="Z74" s="130"/>
      <c r="AA74" s="130"/>
      <c r="AB74" s="130"/>
    </row>
    <row r="75" spans="1:28" x14ac:dyDescent="0.2">
      <c r="A75" s="126">
        <v>67</v>
      </c>
      <c r="B75" s="143" t="s">
        <v>304</v>
      </c>
      <c r="C75" s="128">
        <f>+D75+E75+F75</f>
        <v>314.20000000000005</v>
      </c>
      <c r="D75" s="14">
        <v>259</v>
      </c>
      <c r="E75" s="128">
        <v>4.0999999999999996</v>
      </c>
      <c r="F75" s="128">
        <f>SUM(G75:Y75)</f>
        <v>51.1</v>
      </c>
      <c r="G75" s="14"/>
      <c r="H75" s="14">
        <v>0.2</v>
      </c>
      <c r="I75" s="14">
        <v>1.6</v>
      </c>
      <c r="J75" s="14">
        <v>9</v>
      </c>
      <c r="K75" s="14"/>
      <c r="L75" s="14">
        <v>0.1</v>
      </c>
      <c r="M75" s="14"/>
      <c r="N75" s="14">
        <v>5.9</v>
      </c>
      <c r="O75" s="128">
        <f>+ROUND(D75*0.15/100,1)</f>
        <v>0.4</v>
      </c>
      <c r="P75" s="14">
        <v>20.5</v>
      </c>
      <c r="Q75" s="14">
        <v>6.2</v>
      </c>
      <c r="R75" s="14">
        <v>0.5</v>
      </c>
      <c r="S75" s="14">
        <v>1.6</v>
      </c>
      <c r="T75" s="14">
        <v>0.3</v>
      </c>
      <c r="U75" s="14">
        <f>2.3</f>
        <v>2.2999999999999998</v>
      </c>
      <c r="V75" s="14"/>
      <c r="W75" s="14"/>
      <c r="X75" s="128">
        <v>2.5</v>
      </c>
      <c r="Y75" s="14"/>
      <c r="Z75" s="130"/>
      <c r="AA75" s="130"/>
      <c r="AB75" s="130"/>
    </row>
    <row r="76" spans="1:28" x14ac:dyDescent="0.2">
      <c r="A76" s="126">
        <v>68</v>
      </c>
      <c r="B76" s="143" t="s">
        <v>305</v>
      </c>
      <c r="C76" s="128">
        <f>+D76+E76+F76</f>
        <v>33.4</v>
      </c>
      <c r="D76" s="14"/>
      <c r="E76" s="135"/>
      <c r="F76" s="128">
        <f>SUM(G76:Y76)</f>
        <v>33.4</v>
      </c>
      <c r="G76" s="14"/>
      <c r="H76" s="14"/>
      <c r="I76" s="14"/>
      <c r="J76" s="14">
        <v>3.3</v>
      </c>
      <c r="K76" s="14"/>
      <c r="L76" s="14"/>
      <c r="M76" s="14">
        <v>30.1</v>
      </c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30"/>
      <c r="AA76" s="130"/>
      <c r="AB76" s="130"/>
    </row>
    <row r="77" spans="1:28" x14ac:dyDescent="0.2">
      <c r="A77" s="126">
        <v>69</v>
      </c>
      <c r="B77" s="142" t="s">
        <v>31</v>
      </c>
      <c r="C77" s="133">
        <f>+C78+C79</f>
        <v>243.8</v>
      </c>
      <c r="D77" s="133">
        <f t="shared" ref="D77:Y77" si="19">+D78+D79</f>
        <v>177.1</v>
      </c>
      <c r="E77" s="133">
        <f t="shared" si="19"/>
        <v>2.9</v>
      </c>
      <c r="F77" s="133">
        <f t="shared" si="19"/>
        <v>63.8</v>
      </c>
      <c r="G77" s="133">
        <f t="shared" si="19"/>
        <v>0</v>
      </c>
      <c r="H77" s="133">
        <f t="shared" si="19"/>
        <v>0.1</v>
      </c>
      <c r="I77" s="133">
        <f t="shared" si="19"/>
        <v>1.6</v>
      </c>
      <c r="J77" s="133">
        <f t="shared" si="19"/>
        <v>10</v>
      </c>
      <c r="K77" s="133">
        <f t="shared" si="19"/>
        <v>0</v>
      </c>
      <c r="L77" s="133">
        <f t="shared" si="19"/>
        <v>0.1</v>
      </c>
      <c r="M77" s="133">
        <f t="shared" si="19"/>
        <v>32.4</v>
      </c>
      <c r="N77" s="133">
        <f t="shared" si="19"/>
        <v>7.6</v>
      </c>
      <c r="O77" s="133">
        <f t="shared" si="19"/>
        <v>0.3</v>
      </c>
      <c r="P77" s="133">
        <f t="shared" si="19"/>
        <v>2</v>
      </c>
      <c r="Q77" s="133">
        <f t="shared" si="19"/>
        <v>3</v>
      </c>
      <c r="R77" s="133">
        <f t="shared" si="19"/>
        <v>0.7</v>
      </c>
      <c r="S77" s="133">
        <f t="shared" si="19"/>
        <v>0.9</v>
      </c>
      <c r="T77" s="133">
        <f t="shared" si="19"/>
        <v>0.3</v>
      </c>
      <c r="U77" s="133">
        <f t="shared" si="19"/>
        <v>3.1</v>
      </c>
      <c r="V77" s="133">
        <f t="shared" si="19"/>
        <v>0</v>
      </c>
      <c r="W77" s="133">
        <f t="shared" si="19"/>
        <v>0</v>
      </c>
      <c r="X77" s="133">
        <f t="shared" si="19"/>
        <v>1.7</v>
      </c>
      <c r="Y77" s="133">
        <f t="shared" si="19"/>
        <v>0</v>
      </c>
      <c r="Z77" s="130"/>
      <c r="AA77" s="130"/>
      <c r="AB77" s="130"/>
    </row>
    <row r="78" spans="1:28" x14ac:dyDescent="0.2">
      <c r="A78" s="126">
        <v>70</v>
      </c>
      <c r="B78" s="143" t="s">
        <v>304</v>
      </c>
      <c r="C78" s="128">
        <f>+D78+E78+F78</f>
        <v>206.4</v>
      </c>
      <c r="D78" s="14">
        <v>177.1</v>
      </c>
      <c r="E78" s="128">
        <v>2.9</v>
      </c>
      <c r="F78" s="128">
        <f>SUM(G78:Y78)</f>
        <v>26.4</v>
      </c>
      <c r="G78" s="14"/>
      <c r="H78" s="14">
        <v>0.1</v>
      </c>
      <c r="I78" s="14">
        <v>1.6</v>
      </c>
      <c r="J78" s="14">
        <v>10</v>
      </c>
      <c r="K78" s="14"/>
      <c r="L78" s="14">
        <v>0.1</v>
      </c>
      <c r="M78" s="14"/>
      <c r="N78" s="14">
        <v>2.6</v>
      </c>
      <c r="O78" s="128">
        <f>+ROUND(D78*0.15/100,1)</f>
        <v>0.3</v>
      </c>
      <c r="P78" s="14">
        <v>2</v>
      </c>
      <c r="Q78" s="14">
        <v>3</v>
      </c>
      <c r="R78" s="14">
        <v>0.7</v>
      </c>
      <c r="S78" s="14">
        <v>0.9</v>
      </c>
      <c r="T78" s="14">
        <v>0.3</v>
      </c>
      <c r="U78" s="14">
        <v>3.1</v>
      </c>
      <c r="V78" s="14"/>
      <c r="W78" s="14">
        <v>0</v>
      </c>
      <c r="X78" s="128">
        <v>1.7</v>
      </c>
      <c r="Y78" s="14"/>
      <c r="Z78" s="130"/>
      <c r="AA78" s="130"/>
      <c r="AB78" s="130"/>
    </row>
    <row r="79" spans="1:28" x14ac:dyDescent="0.2">
      <c r="A79" s="126">
        <v>71</v>
      </c>
      <c r="B79" s="143" t="s">
        <v>305</v>
      </c>
      <c r="C79" s="128">
        <f>+D79+E79+F79</f>
        <v>37.4</v>
      </c>
      <c r="D79" s="14"/>
      <c r="E79" s="135"/>
      <c r="F79" s="128">
        <f>SUM(G79:Y79)</f>
        <v>37.4</v>
      </c>
      <c r="G79" s="14"/>
      <c r="H79" s="14"/>
      <c r="I79" s="14"/>
      <c r="J79" s="14"/>
      <c r="K79" s="14"/>
      <c r="L79" s="14"/>
      <c r="M79" s="14">
        <f>31.4+1</f>
        <v>32.4</v>
      </c>
      <c r="N79" s="14">
        <v>5</v>
      </c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30"/>
      <c r="AA79" s="130"/>
      <c r="AB79" s="130"/>
    </row>
    <row r="80" spans="1:28" x14ac:dyDescent="0.2">
      <c r="A80" s="126">
        <v>72</v>
      </c>
      <c r="B80" s="142" t="s">
        <v>32</v>
      </c>
      <c r="C80" s="133">
        <f>+C81+C82</f>
        <v>276.59999999999997</v>
      </c>
      <c r="D80" s="133">
        <f t="shared" ref="D80:Y80" si="20">+D81+D82</f>
        <v>200.7</v>
      </c>
      <c r="E80" s="133">
        <f t="shared" si="20"/>
        <v>3.1</v>
      </c>
      <c r="F80" s="133">
        <f t="shared" si="20"/>
        <v>72.800000000000011</v>
      </c>
      <c r="G80" s="133">
        <f t="shared" si="20"/>
        <v>0</v>
      </c>
      <c r="H80" s="133">
        <f t="shared" si="20"/>
        <v>0.2</v>
      </c>
      <c r="I80" s="133">
        <f t="shared" si="20"/>
        <v>1.6</v>
      </c>
      <c r="J80" s="133">
        <f t="shared" si="20"/>
        <v>9</v>
      </c>
      <c r="K80" s="133">
        <f t="shared" si="20"/>
        <v>0</v>
      </c>
      <c r="L80" s="133">
        <f t="shared" si="20"/>
        <v>0.1</v>
      </c>
      <c r="M80" s="133">
        <f t="shared" si="20"/>
        <v>35.700000000000003</v>
      </c>
      <c r="N80" s="133">
        <f t="shared" si="20"/>
        <v>4.5</v>
      </c>
      <c r="O80" s="133">
        <f t="shared" si="20"/>
        <v>0.3</v>
      </c>
      <c r="P80" s="133">
        <f t="shared" si="20"/>
        <v>12</v>
      </c>
      <c r="Q80" s="133">
        <f t="shared" si="20"/>
        <v>2.4</v>
      </c>
      <c r="R80" s="133">
        <f t="shared" si="20"/>
        <v>0.5</v>
      </c>
      <c r="S80" s="133">
        <f t="shared" si="20"/>
        <v>0.5</v>
      </c>
      <c r="T80" s="133">
        <f t="shared" si="20"/>
        <v>0.4</v>
      </c>
      <c r="U80" s="133">
        <f t="shared" si="20"/>
        <v>3.7</v>
      </c>
      <c r="V80" s="133">
        <f t="shared" si="20"/>
        <v>0</v>
      </c>
      <c r="W80" s="133">
        <f t="shared" si="20"/>
        <v>0</v>
      </c>
      <c r="X80" s="133">
        <f t="shared" si="20"/>
        <v>1.9</v>
      </c>
      <c r="Y80" s="133">
        <f t="shared" si="20"/>
        <v>0</v>
      </c>
      <c r="Z80" s="130"/>
      <c r="AA80" s="130"/>
      <c r="AB80" s="130"/>
    </row>
    <row r="81" spans="1:28" x14ac:dyDescent="0.2">
      <c r="A81" s="126">
        <v>73</v>
      </c>
      <c r="B81" s="143" t="s">
        <v>304</v>
      </c>
      <c r="C81" s="128">
        <f>+D81+E81+F81</f>
        <v>240.89999999999998</v>
      </c>
      <c r="D81" s="14">
        <v>200.7</v>
      </c>
      <c r="E81" s="128">
        <v>3.1</v>
      </c>
      <c r="F81" s="128">
        <f>SUM(G81:Y81)</f>
        <v>37.1</v>
      </c>
      <c r="G81" s="14"/>
      <c r="H81" s="14">
        <v>0.2</v>
      </c>
      <c r="I81" s="14">
        <v>1.6</v>
      </c>
      <c r="J81" s="14">
        <v>9</v>
      </c>
      <c r="K81" s="14"/>
      <c r="L81" s="14">
        <v>0.1</v>
      </c>
      <c r="M81" s="14"/>
      <c r="N81" s="14">
        <v>4.5</v>
      </c>
      <c r="O81" s="128">
        <f>+ROUND(D81*0.15/100,1)</f>
        <v>0.3</v>
      </c>
      <c r="P81" s="14">
        <v>12</v>
      </c>
      <c r="Q81" s="14">
        <v>2.4</v>
      </c>
      <c r="R81" s="14">
        <v>0.5</v>
      </c>
      <c r="S81" s="14">
        <v>0.5</v>
      </c>
      <c r="T81" s="14">
        <v>0.4</v>
      </c>
      <c r="U81" s="14">
        <v>3.7</v>
      </c>
      <c r="V81" s="14"/>
      <c r="W81" s="14"/>
      <c r="X81" s="128">
        <v>1.9</v>
      </c>
      <c r="Y81" s="14"/>
      <c r="Z81" s="130"/>
      <c r="AA81" s="130"/>
      <c r="AB81" s="130"/>
    </row>
    <row r="82" spans="1:28" x14ac:dyDescent="0.2">
      <c r="A82" s="126">
        <v>74</v>
      </c>
      <c r="B82" s="143" t="s">
        <v>305</v>
      </c>
      <c r="C82" s="128">
        <f>+D82+E82+F82</f>
        <v>35.700000000000003</v>
      </c>
      <c r="D82" s="14"/>
      <c r="E82" s="135"/>
      <c r="F82" s="128">
        <f>SUM(G82:Y82)</f>
        <v>35.700000000000003</v>
      </c>
      <c r="G82" s="14"/>
      <c r="H82" s="14"/>
      <c r="I82" s="14"/>
      <c r="J82" s="14"/>
      <c r="K82" s="14"/>
      <c r="L82" s="14"/>
      <c r="M82" s="14">
        <v>35.700000000000003</v>
      </c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30"/>
      <c r="AA82" s="130"/>
      <c r="AB82" s="130"/>
    </row>
    <row r="83" spans="1:28" x14ac:dyDescent="0.2">
      <c r="A83" s="126">
        <v>75</v>
      </c>
      <c r="B83" s="142" t="s">
        <v>33</v>
      </c>
      <c r="C83" s="133">
        <f>+C84+C85</f>
        <v>273.89999999999998</v>
      </c>
      <c r="D83" s="133">
        <f t="shared" ref="D83:Y83" si="21">+D84+D85</f>
        <v>188.5</v>
      </c>
      <c r="E83" s="133">
        <f t="shared" si="21"/>
        <v>3</v>
      </c>
      <c r="F83" s="133">
        <f t="shared" si="21"/>
        <v>82.4</v>
      </c>
      <c r="G83" s="133">
        <f t="shared" si="21"/>
        <v>0</v>
      </c>
      <c r="H83" s="133">
        <f t="shared" si="21"/>
        <v>0.1</v>
      </c>
      <c r="I83" s="133">
        <f t="shared" si="21"/>
        <v>1.6</v>
      </c>
      <c r="J83" s="133">
        <f t="shared" si="21"/>
        <v>19.399999999999999</v>
      </c>
      <c r="K83" s="133">
        <f t="shared" si="21"/>
        <v>0</v>
      </c>
      <c r="L83" s="133">
        <f t="shared" si="21"/>
        <v>0.1</v>
      </c>
      <c r="M83" s="133">
        <f t="shared" si="21"/>
        <v>45.5</v>
      </c>
      <c r="N83" s="133">
        <f t="shared" si="21"/>
        <v>2.8</v>
      </c>
      <c r="O83" s="133">
        <f t="shared" si="21"/>
        <v>0.3</v>
      </c>
      <c r="P83" s="133">
        <f t="shared" si="21"/>
        <v>3.1</v>
      </c>
      <c r="Q83" s="133">
        <f t="shared" si="21"/>
        <v>3.8</v>
      </c>
      <c r="R83" s="133">
        <f t="shared" si="21"/>
        <v>0.6</v>
      </c>
      <c r="S83" s="133">
        <f t="shared" si="21"/>
        <v>0.6</v>
      </c>
      <c r="T83" s="133">
        <f t="shared" si="21"/>
        <v>0.3</v>
      </c>
      <c r="U83" s="133">
        <f t="shared" si="21"/>
        <v>2.4</v>
      </c>
      <c r="V83" s="133">
        <f t="shared" si="21"/>
        <v>0</v>
      </c>
      <c r="W83" s="133">
        <f t="shared" si="21"/>
        <v>0</v>
      </c>
      <c r="X83" s="133">
        <f t="shared" si="21"/>
        <v>1.8</v>
      </c>
      <c r="Y83" s="133">
        <f t="shared" si="21"/>
        <v>0</v>
      </c>
      <c r="Z83" s="130"/>
      <c r="AA83" s="130"/>
      <c r="AB83" s="130"/>
    </row>
    <row r="84" spans="1:28" x14ac:dyDescent="0.2">
      <c r="A84" s="126">
        <v>76</v>
      </c>
      <c r="B84" s="143" t="s">
        <v>304</v>
      </c>
      <c r="C84" s="128">
        <f>+D84+E84+F84</f>
        <v>228.4</v>
      </c>
      <c r="D84" s="135">
        <v>188.5</v>
      </c>
      <c r="E84" s="128">
        <v>3</v>
      </c>
      <c r="F84" s="128">
        <f>SUM(G84:Y84)</f>
        <v>36.9</v>
      </c>
      <c r="G84" s="134"/>
      <c r="H84" s="135">
        <v>0.1</v>
      </c>
      <c r="I84" s="135">
        <v>1.6</v>
      </c>
      <c r="J84" s="135">
        <v>19.399999999999999</v>
      </c>
      <c r="K84" s="134"/>
      <c r="L84" s="135">
        <v>0.1</v>
      </c>
      <c r="M84" s="134"/>
      <c r="N84" s="135">
        <v>2.8</v>
      </c>
      <c r="O84" s="128">
        <f>+ROUND(D84*0.15/100,1)</f>
        <v>0.3</v>
      </c>
      <c r="P84" s="135">
        <v>3.1</v>
      </c>
      <c r="Q84" s="135">
        <v>3.8</v>
      </c>
      <c r="R84" s="135">
        <v>0.6</v>
      </c>
      <c r="S84" s="135">
        <v>0.6</v>
      </c>
      <c r="T84" s="135">
        <v>0.3</v>
      </c>
      <c r="U84" s="135">
        <v>2.4</v>
      </c>
      <c r="V84" s="135"/>
      <c r="W84" s="135">
        <v>0</v>
      </c>
      <c r="X84" s="128">
        <v>1.8</v>
      </c>
      <c r="Y84" s="135"/>
      <c r="Z84" s="130"/>
      <c r="AA84" s="130"/>
      <c r="AB84" s="130"/>
    </row>
    <row r="85" spans="1:28" x14ac:dyDescent="0.2">
      <c r="A85" s="126">
        <v>77</v>
      </c>
      <c r="B85" s="143" t="s">
        <v>305</v>
      </c>
      <c r="C85" s="128">
        <f>+D85+E85+F85</f>
        <v>45.5</v>
      </c>
      <c r="D85" s="134"/>
      <c r="E85" s="135"/>
      <c r="F85" s="128">
        <f>SUM(G85:Y85)</f>
        <v>45.5</v>
      </c>
      <c r="G85" s="134"/>
      <c r="H85" s="134"/>
      <c r="I85" s="134"/>
      <c r="J85" s="134"/>
      <c r="K85" s="134"/>
      <c r="L85" s="134"/>
      <c r="M85" s="135">
        <v>45.5</v>
      </c>
      <c r="N85" s="134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0"/>
      <c r="AA85" s="130"/>
      <c r="AB85" s="130"/>
    </row>
    <row r="86" spans="1:28" s="5" customFormat="1" x14ac:dyDescent="0.2">
      <c r="A86" s="126">
        <v>78</v>
      </c>
      <c r="B86" s="142" t="s">
        <v>34</v>
      </c>
      <c r="C86" s="133">
        <f>+C87+C88</f>
        <v>502.79999999999995</v>
      </c>
      <c r="D86" s="133">
        <f>+D87+D88</f>
        <v>355.2</v>
      </c>
      <c r="E86" s="133">
        <f>+E87+E88</f>
        <v>5.4</v>
      </c>
      <c r="F86" s="133">
        <f>+F87+F88</f>
        <v>142.19999999999999</v>
      </c>
      <c r="G86" s="133">
        <f>+G87+G88</f>
        <v>0</v>
      </c>
      <c r="H86" s="133">
        <f t="shared" ref="H86:Y86" si="22">+H87+H88</f>
        <v>0.3</v>
      </c>
      <c r="I86" s="133">
        <f t="shared" si="22"/>
        <v>1.6</v>
      </c>
      <c r="J86" s="133">
        <f t="shared" si="22"/>
        <v>14.2</v>
      </c>
      <c r="K86" s="133">
        <f t="shared" si="22"/>
        <v>0</v>
      </c>
      <c r="L86" s="133">
        <f t="shared" si="22"/>
        <v>0.1</v>
      </c>
      <c r="M86" s="133">
        <f t="shared" si="22"/>
        <v>48.6</v>
      </c>
      <c r="N86" s="133">
        <f t="shared" si="22"/>
        <v>6.1</v>
      </c>
      <c r="O86" s="133">
        <f t="shared" si="22"/>
        <v>0.5</v>
      </c>
      <c r="P86" s="133">
        <f t="shared" si="22"/>
        <v>26.7</v>
      </c>
      <c r="Q86" s="133">
        <f t="shared" si="22"/>
        <v>12</v>
      </c>
      <c r="R86" s="133">
        <f t="shared" si="22"/>
        <v>22</v>
      </c>
      <c r="S86" s="133">
        <f t="shared" si="22"/>
        <v>1.9</v>
      </c>
      <c r="T86" s="133">
        <f t="shared" si="22"/>
        <v>0.4</v>
      </c>
      <c r="U86" s="133">
        <f t="shared" si="22"/>
        <v>4.3</v>
      </c>
      <c r="V86" s="133">
        <f t="shared" si="22"/>
        <v>0</v>
      </c>
      <c r="W86" s="133">
        <f t="shared" si="22"/>
        <v>0</v>
      </c>
      <c r="X86" s="133">
        <f t="shared" si="22"/>
        <v>3.5</v>
      </c>
      <c r="Y86" s="133">
        <f t="shared" si="22"/>
        <v>0</v>
      </c>
      <c r="Z86" s="130"/>
      <c r="AA86" s="130"/>
      <c r="AB86" s="130"/>
    </row>
    <row r="87" spans="1:28" x14ac:dyDescent="0.2">
      <c r="A87" s="126">
        <v>79</v>
      </c>
      <c r="B87" s="143" t="s">
        <v>304</v>
      </c>
      <c r="C87" s="128">
        <f>+D87+E87+F87</f>
        <v>427.99999999999994</v>
      </c>
      <c r="D87" s="14">
        <v>355.2</v>
      </c>
      <c r="E87" s="128">
        <v>5.4</v>
      </c>
      <c r="F87" s="128">
        <f>SUM(G87:Y87)</f>
        <v>67.399999999999991</v>
      </c>
      <c r="G87" s="14"/>
      <c r="H87" s="14">
        <v>0.3</v>
      </c>
      <c r="I87" s="14">
        <v>1.6</v>
      </c>
      <c r="J87" s="14">
        <v>9</v>
      </c>
      <c r="K87" s="14"/>
      <c r="L87" s="14">
        <v>0.1</v>
      </c>
      <c r="M87" s="14"/>
      <c r="N87" s="14">
        <v>6.1</v>
      </c>
      <c r="O87" s="128">
        <f>+ROUND(D87*0.15/100,1)</f>
        <v>0.5</v>
      </c>
      <c r="P87" s="14">
        <v>26.7</v>
      </c>
      <c r="Q87" s="14">
        <v>12</v>
      </c>
      <c r="R87" s="14">
        <v>1</v>
      </c>
      <c r="S87" s="14">
        <v>1.9</v>
      </c>
      <c r="T87" s="14">
        <v>0.4</v>
      </c>
      <c r="U87" s="14">
        <v>4.3</v>
      </c>
      <c r="V87" s="14"/>
      <c r="W87" s="14">
        <v>0</v>
      </c>
      <c r="X87" s="128">
        <v>3.5</v>
      </c>
      <c r="Y87" s="14"/>
      <c r="Z87" s="130"/>
      <c r="AA87" s="130"/>
      <c r="AB87" s="130"/>
    </row>
    <row r="88" spans="1:28" x14ac:dyDescent="0.2">
      <c r="A88" s="126">
        <v>80</v>
      </c>
      <c r="B88" s="143" t="s">
        <v>305</v>
      </c>
      <c r="C88" s="128">
        <f>+D88+E88+F88</f>
        <v>74.800000000000011</v>
      </c>
      <c r="D88" s="134"/>
      <c r="E88" s="135"/>
      <c r="F88" s="128">
        <f>SUM(G88:Y88)</f>
        <v>74.800000000000011</v>
      </c>
      <c r="G88" s="134"/>
      <c r="H88" s="134"/>
      <c r="I88" s="134"/>
      <c r="J88" s="135">
        <v>5.2</v>
      </c>
      <c r="K88" s="134"/>
      <c r="L88" s="134"/>
      <c r="M88" s="135">
        <f>48.6</f>
        <v>48.6</v>
      </c>
      <c r="N88" s="134"/>
      <c r="O88" s="134"/>
      <c r="P88" s="134"/>
      <c r="Q88" s="135"/>
      <c r="R88" s="135">
        <v>21</v>
      </c>
      <c r="S88" s="135"/>
      <c r="T88" s="134"/>
      <c r="U88" s="134"/>
      <c r="V88" s="135"/>
      <c r="W88" s="135"/>
      <c r="X88" s="135"/>
      <c r="Y88" s="134"/>
      <c r="Z88" s="130"/>
      <c r="AA88" s="130"/>
      <c r="AB88" s="130"/>
    </row>
    <row r="89" spans="1:28" ht="32.25" x14ac:dyDescent="0.2">
      <c r="A89" s="126">
        <v>81</v>
      </c>
      <c r="B89" s="144" t="s">
        <v>216</v>
      </c>
      <c r="C89" s="134">
        <f>+C86+C83+C80+C77+C74+C71+C68+C65+C62+C59+C56+C55</f>
        <v>21894.699999999997</v>
      </c>
      <c r="D89" s="134">
        <f>+D86+D83+D80+D77+D74+D71+D68+D65+D62+D59+D56+D55</f>
        <v>7914.2</v>
      </c>
      <c r="E89" s="134">
        <f>+E86+E83+E80+E77+E74+E71+E68+E65+E62+E59+E56+E55</f>
        <v>112.00000000000001</v>
      </c>
      <c r="F89" s="134">
        <f t="shared" ref="F89:W89" si="23">+F86+F83+F80+F77+F74+F71+F68+F65+F62+F59+F56+F55</f>
        <v>13868.5</v>
      </c>
      <c r="G89" s="134">
        <f t="shared" si="23"/>
        <v>0</v>
      </c>
      <c r="H89" s="134">
        <f t="shared" si="23"/>
        <v>6.4</v>
      </c>
      <c r="I89" s="134">
        <f t="shared" si="23"/>
        <v>42.699999999999996</v>
      </c>
      <c r="J89" s="134">
        <f t="shared" si="23"/>
        <v>413.8</v>
      </c>
      <c r="K89" s="134">
        <f t="shared" si="23"/>
        <v>14</v>
      </c>
      <c r="L89" s="134">
        <f t="shared" si="23"/>
        <v>14.9</v>
      </c>
      <c r="M89" s="134">
        <f t="shared" si="23"/>
        <v>3358</v>
      </c>
      <c r="N89" s="134">
        <f t="shared" si="23"/>
        <v>1070.8000000000002</v>
      </c>
      <c r="O89" s="134">
        <f t="shared" si="23"/>
        <v>51.9</v>
      </c>
      <c r="P89" s="134">
        <f>+P86+P83+P80+P77+P74+P71+P68+P65+P62+P59+P56+P55</f>
        <v>152.6</v>
      </c>
      <c r="Q89" s="134">
        <f>+Q86+Q83+Q80+Q77+Q74+Q71+Q68+Q65+Q62+Q59+Q56+Q55</f>
        <v>87.5</v>
      </c>
      <c r="R89" s="134">
        <f>+R86+R83+R80+R77+R74+R71+R68+R65+R62+R59+R56+R55</f>
        <v>41.1</v>
      </c>
      <c r="S89" s="134">
        <f t="shared" si="23"/>
        <v>26</v>
      </c>
      <c r="T89" s="134">
        <f t="shared" si="23"/>
        <v>491</v>
      </c>
      <c r="U89" s="134">
        <f t="shared" si="23"/>
        <v>3632.7000000000003</v>
      </c>
      <c r="V89" s="134">
        <f t="shared" si="23"/>
        <v>3859.5</v>
      </c>
      <c r="W89" s="134">
        <f t="shared" si="23"/>
        <v>0</v>
      </c>
      <c r="X89" s="134">
        <f>+X86+X83+X80+X77+X74+X71+X68+X65+X62+X59+X56+X55</f>
        <v>76.599999999999994</v>
      </c>
      <c r="Y89" s="134">
        <f>+Y86+Y83+Y80+Y77+Y74+Y71+Y68+Y65+Y62+Y59+Y56+Y55</f>
        <v>529</v>
      </c>
      <c r="Z89" s="130"/>
      <c r="AA89" s="130"/>
      <c r="AB89" s="130"/>
    </row>
    <row r="90" spans="1:28" s="5" customFormat="1" x14ac:dyDescent="0.2">
      <c r="A90" s="126">
        <v>82</v>
      </c>
      <c r="B90" s="145" t="s">
        <v>306</v>
      </c>
      <c r="C90" s="134">
        <f t="shared" ref="C90:Y90" si="24">+C89+C54+C37+C17</f>
        <v>52931.29</v>
      </c>
      <c r="D90" s="134">
        <f t="shared" si="24"/>
        <v>32350.699999999997</v>
      </c>
      <c r="E90" s="134">
        <f t="shared" si="24"/>
        <v>471.29999999999995</v>
      </c>
      <c r="F90" s="134">
        <f t="shared" si="24"/>
        <v>20109.29</v>
      </c>
      <c r="G90" s="134">
        <f t="shared" si="24"/>
        <v>24.899999999999991</v>
      </c>
      <c r="H90" s="134">
        <f t="shared" si="24"/>
        <v>46.3</v>
      </c>
      <c r="I90" s="134">
        <f t="shared" si="24"/>
        <v>116.28999999999999</v>
      </c>
      <c r="J90" s="134">
        <f t="shared" si="24"/>
        <v>836.5</v>
      </c>
      <c r="K90" s="134">
        <f t="shared" si="24"/>
        <v>44.499999999999993</v>
      </c>
      <c r="L90" s="134">
        <f t="shared" si="24"/>
        <v>28.600000000000005</v>
      </c>
      <c r="M90" s="134">
        <f t="shared" si="24"/>
        <v>3358</v>
      </c>
      <c r="N90" s="134">
        <f t="shared" si="24"/>
        <v>1343.7000000000003</v>
      </c>
      <c r="O90" s="134">
        <f t="shared" si="24"/>
        <v>85.100000000000009</v>
      </c>
      <c r="P90" s="134">
        <f>+P89+P54+P37+P17</f>
        <v>1129.8999999999999</v>
      </c>
      <c r="Q90" s="134">
        <f>+Q89+Q54+Q37+Q17</f>
        <v>601.20000000000005</v>
      </c>
      <c r="R90" s="134">
        <f>+R89+R54+R37+R17</f>
        <v>204.7</v>
      </c>
      <c r="S90" s="134">
        <f t="shared" si="24"/>
        <v>171.20000000000002</v>
      </c>
      <c r="T90" s="134">
        <f t="shared" si="24"/>
        <v>541.79999999999995</v>
      </c>
      <c r="U90" s="134">
        <f t="shared" si="24"/>
        <v>6051.1</v>
      </c>
      <c r="V90" s="134">
        <f t="shared" si="24"/>
        <v>4105</v>
      </c>
      <c r="W90" s="134">
        <f t="shared" si="24"/>
        <v>185.5</v>
      </c>
      <c r="X90" s="134">
        <f t="shared" si="24"/>
        <v>324.5</v>
      </c>
      <c r="Y90" s="134">
        <f t="shared" si="24"/>
        <v>910.5</v>
      </c>
      <c r="Z90" s="130"/>
      <c r="AA90" s="130"/>
      <c r="AB90" s="130"/>
    </row>
    <row r="91" spans="1:28" ht="25.5" x14ac:dyDescent="0.2">
      <c r="A91" s="126">
        <v>83</v>
      </c>
      <c r="B91" s="146" t="s">
        <v>217</v>
      </c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0"/>
      <c r="AA91" s="130"/>
      <c r="AB91" s="130"/>
    </row>
    <row r="92" spans="1:28" ht="33.75" x14ac:dyDescent="0.2">
      <c r="A92" s="126">
        <v>84</v>
      </c>
      <c r="B92" s="147" t="s">
        <v>218</v>
      </c>
      <c r="C92" s="135">
        <f>+D92+E92+F92</f>
        <v>80</v>
      </c>
      <c r="D92" s="135"/>
      <c r="E92" s="135"/>
      <c r="F92" s="128">
        <f>SUM(G92:Y92)</f>
        <v>80</v>
      </c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35"/>
      <c r="R92" s="135"/>
      <c r="S92" s="14"/>
      <c r="T92" s="14"/>
      <c r="U92" s="17">
        <v>80</v>
      </c>
      <c r="V92" s="14"/>
      <c r="W92" s="14"/>
      <c r="X92" s="14"/>
      <c r="Y92" s="14"/>
      <c r="Z92" s="130"/>
      <c r="AA92" s="130"/>
      <c r="AB92" s="130"/>
    </row>
    <row r="93" spans="1:28" ht="33.75" x14ac:dyDescent="0.2">
      <c r="A93" s="126">
        <v>85</v>
      </c>
      <c r="B93" s="148" t="s">
        <v>307</v>
      </c>
      <c r="C93" s="135">
        <f>+D93+E93+F93</f>
        <v>120</v>
      </c>
      <c r="D93" s="135"/>
      <c r="E93" s="135"/>
      <c r="F93" s="128">
        <f t="shared" ref="F93:F136" si="25">SUM(G93:Y93)</f>
        <v>120</v>
      </c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35"/>
      <c r="R93" s="135"/>
      <c r="S93" s="14"/>
      <c r="T93" s="14"/>
      <c r="U93" s="17">
        <v>120</v>
      </c>
      <c r="V93" s="14"/>
      <c r="W93" s="14"/>
      <c r="X93" s="14"/>
      <c r="Y93" s="14"/>
      <c r="Z93" s="130"/>
      <c r="AA93" s="130"/>
      <c r="AB93" s="130"/>
    </row>
    <row r="94" spans="1:28" s="3" customFormat="1" x14ac:dyDescent="0.2">
      <c r="A94" s="126">
        <v>86</v>
      </c>
      <c r="B94" s="147" t="s">
        <v>219</v>
      </c>
      <c r="C94" s="135">
        <f t="shared" ref="C94:C136" si="26">+D94+E94+F94</f>
        <v>30</v>
      </c>
      <c r="D94" s="135"/>
      <c r="E94" s="135"/>
      <c r="F94" s="128">
        <f t="shared" si="25"/>
        <v>30</v>
      </c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35"/>
      <c r="R94" s="135"/>
      <c r="S94" s="14"/>
      <c r="T94" s="14"/>
      <c r="U94" s="17">
        <v>30</v>
      </c>
      <c r="V94" s="14"/>
      <c r="W94" s="14"/>
      <c r="X94" s="14"/>
      <c r="Y94" s="14"/>
      <c r="Z94" s="130"/>
      <c r="AA94" s="130"/>
      <c r="AB94" s="130"/>
    </row>
    <row r="95" spans="1:28" s="3" customFormat="1" x14ac:dyDescent="0.2">
      <c r="A95" s="126">
        <v>87</v>
      </c>
      <c r="B95" s="147" t="s">
        <v>120</v>
      </c>
      <c r="C95" s="135">
        <f t="shared" si="26"/>
        <v>121</v>
      </c>
      <c r="D95" s="135"/>
      <c r="E95" s="135"/>
      <c r="F95" s="128">
        <f t="shared" si="25"/>
        <v>121</v>
      </c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35"/>
      <c r="R95" s="135"/>
      <c r="S95" s="14"/>
      <c r="T95" s="14"/>
      <c r="U95" s="17">
        <v>121</v>
      </c>
      <c r="V95" s="14"/>
      <c r="W95" s="14"/>
      <c r="X95" s="14"/>
      <c r="Y95" s="14"/>
      <c r="Z95" s="130"/>
      <c r="AA95" s="130"/>
      <c r="AB95" s="130"/>
    </row>
    <row r="96" spans="1:28" s="3" customFormat="1" x14ac:dyDescent="0.2">
      <c r="A96" s="126">
        <v>88</v>
      </c>
      <c r="B96" s="149" t="s">
        <v>220</v>
      </c>
      <c r="C96" s="135">
        <f t="shared" si="26"/>
        <v>15</v>
      </c>
      <c r="D96" s="135"/>
      <c r="E96" s="135"/>
      <c r="F96" s="128">
        <f t="shared" si="25"/>
        <v>15</v>
      </c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35"/>
      <c r="R96" s="135"/>
      <c r="S96" s="14"/>
      <c r="T96" s="14"/>
      <c r="U96" s="17">
        <v>15</v>
      </c>
      <c r="V96" s="14"/>
      <c r="W96" s="14"/>
      <c r="X96" s="14"/>
      <c r="Y96" s="14"/>
      <c r="Z96" s="130"/>
      <c r="AA96" s="130"/>
      <c r="AB96" s="130"/>
    </row>
    <row r="97" spans="1:28" s="3" customFormat="1" ht="33.75" x14ac:dyDescent="0.2">
      <c r="A97" s="126">
        <v>89</v>
      </c>
      <c r="B97" s="148" t="s">
        <v>221</v>
      </c>
      <c r="C97" s="135">
        <f t="shared" si="26"/>
        <v>83.3</v>
      </c>
      <c r="D97" s="135"/>
      <c r="E97" s="135"/>
      <c r="F97" s="128">
        <f t="shared" si="25"/>
        <v>83.3</v>
      </c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35"/>
      <c r="R97" s="135"/>
      <c r="S97" s="14"/>
      <c r="T97" s="14"/>
      <c r="U97" s="17">
        <v>83.3</v>
      </c>
      <c r="V97" s="14"/>
      <c r="W97" s="14"/>
      <c r="X97" s="14"/>
      <c r="Y97" s="14"/>
      <c r="Z97" s="130"/>
      <c r="AA97" s="130"/>
      <c r="AB97" s="130"/>
    </row>
    <row r="98" spans="1:28" s="138" customFormat="1" ht="22.5" x14ac:dyDescent="0.2">
      <c r="A98" s="126">
        <v>90</v>
      </c>
      <c r="B98" s="148" t="s">
        <v>222</v>
      </c>
      <c r="C98" s="135">
        <f t="shared" si="26"/>
        <v>11</v>
      </c>
      <c r="D98" s="135"/>
      <c r="E98" s="135"/>
      <c r="F98" s="128">
        <f t="shared" si="25"/>
        <v>11</v>
      </c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35"/>
      <c r="R98" s="135"/>
      <c r="S98" s="14"/>
      <c r="T98" s="14"/>
      <c r="U98" s="17">
        <v>11</v>
      </c>
      <c r="V98" s="14"/>
      <c r="W98" s="14"/>
      <c r="X98" s="14"/>
      <c r="Y98" s="14"/>
      <c r="Z98" s="130"/>
      <c r="AA98" s="130"/>
      <c r="AB98" s="130"/>
    </row>
    <row r="99" spans="1:28" s="138" customFormat="1" x14ac:dyDescent="0.2">
      <c r="A99" s="126">
        <v>91</v>
      </c>
      <c r="B99" s="150" t="s">
        <v>308</v>
      </c>
      <c r="C99" s="135">
        <f t="shared" si="26"/>
        <v>815</v>
      </c>
      <c r="D99" s="135"/>
      <c r="E99" s="135"/>
      <c r="F99" s="128">
        <f t="shared" si="25"/>
        <v>815</v>
      </c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35"/>
      <c r="R99" s="135"/>
      <c r="S99" s="14"/>
      <c r="T99" s="14"/>
      <c r="U99" s="17">
        <v>815</v>
      </c>
      <c r="V99" s="14"/>
      <c r="W99" s="14"/>
      <c r="X99" s="14"/>
      <c r="Y99" s="14"/>
      <c r="Z99" s="130"/>
      <c r="AA99" s="130"/>
      <c r="AB99" s="130"/>
    </row>
    <row r="100" spans="1:28" s="3" customFormat="1" ht="33.75" x14ac:dyDescent="0.2">
      <c r="A100" s="126">
        <v>92</v>
      </c>
      <c r="B100" s="151" t="s">
        <v>223</v>
      </c>
      <c r="C100" s="135">
        <f t="shared" si="26"/>
        <v>10.3</v>
      </c>
      <c r="D100" s="135"/>
      <c r="E100" s="135"/>
      <c r="F100" s="128">
        <f t="shared" si="25"/>
        <v>10.3</v>
      </c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35"/>
      <c r="R100" s="135"/>
      <c r="S100" s="14"/>
      <c r="T100" s="14"/>
      <c r="U100" s="26">
        <v>10.3</v>
      </c>
      <c r="V100" s="14"/>
      <c r="W100" s="14"/>
      <c r="X100" s="14"/>
      <c r="Y100" s="14"/>
      <c r="Z100" s="130"/>
      <c r="AA100" s="130"/>
      <c r="AB100" s="130"/>
    </row>
    <row r="101" spans="1:28" s="3" customFormat="1" x14ac:dyDescent="0.2">
      <c r="A101" s="126">
        <v>93</v>
      </c>
      <c r="B101" s="151" t="s">
        <v>309</v>
      </c>
      <c r="C101" s="135">
        <f t="shared" si="26"/>
        <v>80</v>
      </c>
      <c r="D101" s="135"/>
      <c r="E101" s="135"/>
      <c r="F101" s="128">
        <f t="shared" si="25"/>
        <v>80</v>
      </c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35"/>
      <c r="R101" s="135"/>
      <c r="S101" s="14"/>
      <c r="T101" s="14"/>
      <c r="U101" s="17">
        <v>80</v>
      </c>
      <c r="V101" s="14"/>
      <c r="W101" s="14"/>
      <c r="X101" s="14"/>
      <c r="Y101" s="14"/>
      <c r="Z101" s="130"/>
      <c r="AA101" s="130"/>
      <c r="AB101" s="130"/>
    </row>
    <row r="102" spans="1:28" s="3" customFormat="1" ht="25.35" customHeight="1" x14ac:dyDescent="0.2">
      <c r="A102" s="126">
        <v>94</v>
      </c>
      <c r="B102" s="148" t="s">
        <v>310</v>
      </c>
      <c r="C102" s="135">
        <f t="shared" si="26"/>
        <v>40</v>
      </c>
      <c r="D102" s="135"/>
      <c r="E102" s="135"/>
      <c r="F102" s="128">
        <f t="shared" si="25"/>
        <v>40</v>
      </c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35"/>
      <c r="R102" s="135"/>
      <c r="S102" s="14"/>
      <c r="T102" s="14"/>
      <c r="U102" s="17">
        <v>40</v>
      </c>
      <c r="V102" s="14"/>
      <c r="W102" s="14"/>
      <c r="X102" s="14"/>
      <c r="Y102" s="14"/>
      <c r="Z102" s="130"/>
      <c r="AA102" s="130"/>
      <c r="AB102" s="130"/>
    </row>
    <row r="103" spans="1:28" ht="33.75" x14ac:dyDescent="0.2">
      <c r="A103" s="126">
        <v>95</v>
      </c>
      <c r="B103" s="152" t="s">
        <v>224</v>
      </c>
      <c r="C103" s="135">
        <f t="shared" si="26"/>
        <v>46</v>
      </c>
      <c r="D103" s="135"/>
      <c r="E103" s="135"/>
      <c r="F103" s="128">
        <f t="shared" si="25"/>
        <v>46</v>
      </c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35"/>
      <c r="R103" s="135"/>
      <c r="S103" s="14"/>
      <c r="T103" s="14"/>
      <c r="U103" s="67">
        <v>46</v>
      </c>
      <c r="V103" s="14"/>
      <c r="W103" s="14"/>
      <c r="X103" s="14"/>
      <c r="Y103" s="14"/>
      <c r="Z103" s="130"/>
      <c r="AA103" s="130"/>
      <c r="AB103" s="130"/>
    </row>
    <row r="104" spans="1:28" ht="27" customHeight="1" x14ac:dyDescent="0.2">
      <c r="A104" s="126">
        <v>96</v>
      </c>
      <c r="B104" s="153" t="s">
        <v>226</v>
      </c>
      <c r="C104" s="135">
        <f t="shared" si="26"/>
        <v>28</v>
      </c>
      <c r="D104" s="135"/>
      <c r="E104" s="135"/>
      <c r="F104" s="128">
        <f t="shared" si="25"/>
        <v>28</v>
      </c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35"/>
      <c r="R104" s="135"/>
      <c r="S104" s="14"/>
      <c r="T104" s="14"/>
      <c r="U104" s="26">
        <v>28</v>
      </c>
      <c r="V104" s="14"/>
      <c r="W104" s="14"/>
      <c r="X104" s="14"/>
      <c r="Y104" s="14"/>
      <c r="Z104" s="130"/>
      <c r="AA104" s="130"/>
      <c r="AB104" s="130"/>
    </row>
    <row r="105" spans="1:28" ht="27.4" customHeight="1" x14ac:dyDescent="0.2">
      <c r="A105" s="126">
        <v>97</v>
      </c>
      <c r="B105" s="154" t="s">
        <v>227</v>
      </c>
      <c r="C105" s="135"/>
      <c r="D105" s="135"/>
      <c r="E105" s="135"/>
      <c r="F105" s="128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35"/>
      <c r="R105" s="135"/>
      <c r="S105" s="14"/>
      <c r="T105" s="14"/>
      <c r="U105" s="26"/>
      <c r="V105" s="14"/>
      <c r="W105" s="14"/>
      <c r="X105" s="14"/>
      <c r="Y105" s="14"/>
      <c r="Z105" s="130"/>
      <c r="AA105" s="130"/>
      <c r="AB105" s="130"/>
    </row>
    <row r="106" spans="1:28" ht="45" x14ac:dyDescent="0.2">
      <c r="A106" s="126">
        <v>98</v>
      </c>
      <c r="B106" s="147" t="s">
        <v>267</v>
      </c>
      <c r="C106" s="135">
        <f t="shared" si="26"/>
        <v>1342</v>
      </c>
      <c r="D106" s="135"/>
      <c r="E106" s="135"/>
      <c r="F106" s="128">
        <f t="shared" si="25"/>
        <v>1342</v>
      </c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35"/>
      <c r="R106" s="135"/>
      <c r="S106" s="14"/>
      <c r="T106" s="14"/>
      <c r="U106" s="17">
        <v>1342</v>
      </c>
      <c r="V106" s="14"/>
      <c r="W106" s="14"/>
      <c r="X106" s="14"/>
      <c r="Y106" s="14"/>
      <c r="Z106" s="130"/>
      <c r="AA106" s="130"/>
      <c r="AB106" s="130"/>
    </row>
    <row r="107" spans="1:28" ht="56.25" x14ac:dyDescent="0.2">
      <c r="A107" s="126">
        <v>99</v>
      </c>
      <c r="B107" s="150" t="s">
        <v>228</v>
      </c>
      <c r="C107" s="135">
        <f t="shared" si="26"/>
        <v>15</v>
      </c>
      <c r="D107" s="135"/>
      <c r="E107" s="135"/>
      <c r="F107" s="128">
        <f t="shared" si="25"/>
        <v>15</v>
      </c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35"/>
      <c r="R107" s="135"/>
      <c r="S107" s="14"/>
      <c r="T107" s="14"/>
      <c r="U107" s="26">
        <v>15</v>
      </c>
      <c r="V107" s="14"/>
      <c r="W107" s="14"/>
      <c r="X107" s="14"/>
      <c r="Y107" s="14"/>
      <c r="Z107" s="130"/>
      <c r="AA107" s="130"/>
      <c r="AB107" s="130"/>
    </row>
    <row r="108" spans="1:28" ht="22.5" x14ac:dyDescent="0.2">
      <c r="A108" s="126">
        <v>100</v>
      </c>
      <c r="B108" s="155" t="s">
        <v>281</v>
      </c>
      <c r="C108" s="135">
        <f t="shared" si="26"/>
        <v>30</v>
      </c>
      <c r="D108" s="135"/>
      <c r="E108" s="135"/>
      <c r="F108" s="128">
        <f t="shared" si="25"/>
        <v>30</v>
      </c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5"/>
      <c r="R108" s="135"/>
      <c r="S108" s="134"/>
      <c r="T108" s="134"/>
      <c r="U108" s="17">
        <v>30</v>
      </c>
      <c r="V108" s="134"/>
      <c r="W108" s="134"/>
      <c r="X108" s="134"/>
      <c r="Y108" s="134"/>
      <c r="Z108" s="130"/>
      <c r="AA108" s="130"/>
      <c r="AB108" s="130"/>
    </row>
    <row r="109" spans="1:28" ht="33.4" customHeight="1" x14ac:dyDescent="0.2">
      <c r="A109" s="126">
        <v>101</v>
      </c>
      <c r="B109" s="156" t="s">
        <v>229</v>
      </c>
      <c r="C109" s="135">
        <f t="shared" si="26"/>
        <v>110</v>
      </c>
      <c r="D109" s="135"/>
      <c r="E109" s="135"/>
      <c r="F109" s="128">
        <f t="shared" si="25"/>
        <v>110</v>
      </c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35"/>
      <c r="R109" s="135"/>
      <c r="S109" s="14"/>
      <c r="T109" s="14"/>
      <c r="U109" s="17">
        <v>110</v>
      </c>
      <c r="V109" s="14"/>
      <c r="W109" s="14"/>
      <c r="X109" s="14"/>
      <c r="Y109" s="14"/>
      <c r="Z109" s="130"/>
      <c r="AA109" s="130"/>
      <c r="AB109" s="130"/>
    </row>
    <row r="110" spans="1:28" s="5" customFormat="1" ht="26.1" customHeight="1" x14ac:dyDescent="0.2">
      <c r="A110" s="126">
        <v>102</v>
      </c>
      <c r="B110" s="156" t="s">
        <v>230</v>
      </c>
      <c r="C110" s="135">
        <f t="shared" si="26"/>
        <v>348.3</v>
      </c>
      <c r="D110" s="135"/>
      <c r="E110" s="135"/>
      <c r="F110" s="128">
        <f t="shared" si="25"/>
        <v>348.3</v>
      </c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35"/>
      <c r="R110" s="135"/>
      <c r="S110" s="14"/>
      <c r="T110" s="14"/>
      <c r="U110" s="26">
        <v>348.3</v>
      </c>
      <c r="V110" s="14"/>
      <c r="W110" s="14"/>
      <c r="X110" s="14"/>
      <c r="Y110" s="14"/>
      <c r="Z110" s="130"/>
      <c r="AA110" s="130"/>
      <c r="AB110" s="130"/>
    </row>
    <row r="111" spans="1:28" s="5" customFormat="1" ht="39.950000000000003" customHeight="1" x14ac:dyDescent="0.2">
      <c r="A111" s="126">
        <v>103</v>
      </c>
      <c r="B111" s="153" t="s">
        <v>231</v>
      </c>
      <c r="C111" s="135">
        <f t="shared" si="26"/>
        <v>275.3</v>
      </c>
      <c r="D111" s="135"/>
      <c r="E111" s="135"/>
      <c r="F111" s="128">
        <f t="shared" si="25"/>
        <v>275.3</v>
      </c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35"/>
      <c r="R111" s="135"/>
      <c r="S111" s="14"/>
      <c r="T111" s="14"/>
      <c r="U111" s="17">
        <v>275.3</v>
      </c>
      <c r="V111" s="14"/>
      <c r="W111" s="14"/>
      <c r="X111" s="14"/>
      <c r="Y111" s="14"/>
      <c r="Z111" s="130"/>
      <c r="AA111" s="130"/>
      <c r="AB111" s="130"/>
    </row>
    <row r="112" spans="1:28" s="5" customFormat="1" ht="35.1" customHeight="1" x14ac:dyDescent="0.2">
      <c r="A112" s="126">
        <v>104</v>
      </c>
      <c r="B112" s="153" t="s">
        <v>311</v>
      </c>
      <c r="C112" s="135">
        <f t="shared" si="26"/>
        <v>123.3</v>
      </c>
      <c r="D112" s="135"/>
      <c r="E112" s="135"/>
      <c r="F112" s="128">
        <f t="shared" si="25"/>
        <v>123.3</v>
      </c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35"/>
      <c r="R112" s="135"/>
      <c r="S112" s="14"/>
      <c r="T112" s="14"/>
      <c r="U112" s="17">
        <v>123.3</v>
      </c>
      <c r="V112" s="14"/>
      <c r="W112" s="14"/>
      <c r="X112" s="14"/>
      <c r="Y112" s="14"/>
      <c r="Z112" s="130"/>
      <c r="AA112" s="130"/>
      <c r="AB112" s="130"/>
    </row>
    <row r="113" spans="1:28" s="5" customFormat="1" ht="22.5" x14ac:dyDescent="0.2">
      <c r="A113" s="126">
        <v>105</v>
      </c>
      <c r="B113" s="156" t="s">
        <v>232</v>
      </c>
      <c r="C113" s="135">
        <f t="shared" si="26"/>
        <v>70</v>
      </c>
      <c r="D113" s="135"/>
      <c r="E113" s="135"/>
      <c r="F113" s="128">
        <f t="shared" si="25"/>
        <v>70</v>
      </c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35"/>
      <c r="R113" s="135"/>
      <c r="S113" s="14"/>
      <c r="T113" s="14"/>
      <c r="U113" s="17">
        <v>70</v>
      </c>
      <c r="V113" s="14"/>
      <c r="W113" s="14"/>
      <c r="X113" s="14"/>
      <c r="Y113" s="14"/>
      <c r="Z113" s="130"/>
      <c r="AA113" s="130"/>
      <c r="AB113" s="130"/>
    </row>
    <row r="114" spans="1:28" s="5" customFormat="1" ht="33.75" x14ac:dyDescent="0.2">
      <c r="A114" s="126">
        <v>106</v>
      </c>
      <c r="B114" s="153" t="s">
        <v>233</v>
      </c>
      <c r="C114" s="135">
        <f t="shared" si="26"/>
        <v>140</v>
      </c>
      <c r="D114" s="135"/>
      <c r="E114" s="135"/>
      <c r="F114" s="128">
        <f t="shared" si="25"/>
        <v>140</v>
      </c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35"/>
      <c r="R114" s="135"/>
      <c r="S114" s="14"/>
      <c r="T114" s="14"/>
      <c r="U114" s="17">
        <v>140</v>
      </c>
      <c r="V114" s="14"/>
      <c r="W114" s="14"/>
      <c r="X114" s="14"/>
      <c r="Y114" s="14"/>
      <c r="Z114" s="130"/>
      <c r="AA114" s="130"/>
      <c r="AB114" s="130"/>
    </row>
    <row r="115" spans="1:28" ht="45" x14ac:dyDescent="0.2">
      <c r="A115" s="126">
        <v>107</v>
      </c>
      <c r="B115" s="157" t="s">
        <v>234</v>
      </c>
      <c r="C115" s="135">
        <f t="shared" si="26"/>
        <v>40</v>
      </c>
      <c r="D115" s="135"/>
      <c r="E115" s="135"/>
      <c r="F115" s="128">
        <f t="shared" si="25"/>
        <v>40</v>
      </c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35"/>
      <c r="R115" s="135"/>
      <c r="S115" s="14"/>
      <c r="T115" s="14"/>
      <c r="U115" s="17">
        <v>40</v>
      </c>
      <c r="V115" s="14"/>
      <c r="W115" s="14"/>
      <c r="X115" s="14"/>
      <c r="Y115" s="14"/>
      <c r="Z115" s="130"/>
      <c r="AA115" s="130"/>
      <c r="AB115" s="130"/>
    </row>
    <row r="116" spans="1:28" ht="22.5" x14ac:dyDescent="0.2">
      <c r="A116" s="126">
        <v>108</v>
      </c>
      <c r="B116" s="158" t="s">
        <v>235</v>
      </c>
      <c r="C116" s="135">
        <f>+F116</f>
        <v>48</v>
      </c>
      <c r="D116" s="135"/>
      <c r="E116" s="135"/>
      <c r="F116" s="128">
        <f>+U116</f>
        <v>48</v>
      </c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35"/>
      <c r="R116" s="135"/>
      <c r="S116" s="14"/>
      <c r="T116" s="14"/>
      <c r="U116" s="17">
        <v>48</v>
      </c>
      <c r="V116" s="14"/>
      <c r="W116" s="14"/>
      <c r="X116" s="14"/>
      <c r="Y116" s="14"/>
      <c r="Z116" s="130"/>
      <c r="AA116" s="130"/>
      <c r="AB116" s="130"/>
    </row>
    <row r="117" spans="1:28" ht="33.75" x14ac:dyDescent="0.2">
      <c r="A117" s="126">
        <v>109</v>
      </c>
      <c r="B117" s="158" t="s">
        <v>236</v>
      </c>
      <c r="C117" s="135">
        <f>+F117</f>
        <v>56</v>
      </c>
      <c r="D117" s="135"/>
      <c r="E117" s="135"/>
      <c r="F117" s="128">
        <f>+U117</f>
        <v>56</v>
      </c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35"/>
      <c r="R117" s="135"/>
      <c r="S117" s="14"/>
      <c r="T117" s="14"/>
      <c r="U117" s="17">
        <v>56</v>
      </c>
      <c r="V117" s="14"/>
      <c r="W117" s="14"/>
      <c r="X117" s="14"/>
      <c r="Y117" s="14"/>
      <c r="Z117" s="130"/>
      <c r="AA117" s="130"/>
      <c r="AB117" s="130"/>
    </row>
    <row r="118" spans="1:28" s="5" customFormat="1" ht="22.5" x14ac:dyDescent="0.2">
      <c r="A118" s="126">
        <v>110</v>
      </c>
      <c r="B118" s="158" t="s">
        <v>280</v>
      </c>
      <c r="C118" s="135">
        <f>+F118</f>
        <v>150</v>
      </c>
      <c r="D118" s="135"/>
      <c r="E118" s="135"/>
      <c r="F118" s="128">
        <f>+U118</f>
        <v>150</v>
      </c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35"/>
      <c r="R118" s="135"/>
      <c r="S118" s="14"/>
      <c r="T118" s="14"/>
      <c r="U118" s="17">
        <v>150</v>
      </c>
      <c r="V118" s="14"/>
      <c r="W118" s="14"/>
      <c r="X118" s="14"/>
      <c r="Y118" s="14"/>
      <c r="Z118" s="130"/>
      <c r="AA118" s="130"/>
      <c r="AB118" s="130"/>
    </row>
    <row r="119" spans="1:28" ht="35.65" customHeight="1" x14ac:dyDescent="0.2">
      <c r="A119" s="126">
        <v>111</v>
      </c>
      <c r="B119" s="153" t="s">
        <v>282</v>
      </c>
      <c r="C119" s="135">
        <f>+D119+E119+F119</f>
        <v>12</v>
      </c>
      <c r="D119" s="135"/>
      <c r="E119" s="135"/>
      <c r="F119" s="128">
        <f>SUM(G119:Y119)</f>
        <v>12</v>
      </c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5"/>
      <c r="R119" s="135"/>
      <c r="S119" s="134"/>
      <c r="T119" s="134"/>
      <c r="U119" s="17">
        <v>12</v>
      </c>
      <c r="V119" s="134"/>
      <c r="W119" s="134"/>
      <c r="X119" s="134"/>
      <c r="Y119" s="134"/>
      <c r="Z119" s="130"/>
      <c r="AA119" s="130"/>
      <c r="AB119" s="130"/>
    </row>
    <row r="120" spans="1:28" ht="27.4" customHeight="1" x14ac:dyDescent="0.2">
      <c r="A120" s="126">
        <v>112</v>
      </c>
      <c r="B120" s="153" t="s">
        <v>283</v>
      </c>
      <c r="C120" s="135">
        <f>+D120+E120+F120</f>
        <v>17</v>
      </c>
      <c r="D120" s="135"/>
      <c r="E120" s="135"/>
      <c r="F120" s="128">
        <f>SUM(G120:Y120)</f>
        <v>17</v>
      </c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  <c r="Q120" s="135"/>
      <c r="R120" s="135"/>
      <c r="S120" s="134"/>
      <c r="T120" s="134"/>
      <c r="U120" s="17">
        <v>17</v>
      </c>
      <c r="V120" s="134"/>
      <c r="W120" s="134"/>
      <c r="X120" s="134"/>
      <c r="Y120" s="134"/>
      <c r="Z120" s="130"/>
      <c r="AA120" s="130"/>
      <c r="AB120" s="130"/>
    </row>
    <row r="121" spans="1:28" s="5" customFormat="1" ht="22.5" x14ac:dyDescent="0.2">
      <c r="A121" s="126">
        <v>113</v>
      </c>
      <c r="B121" s="153" t="s">
        <v>284</v>
      </c>
      <c r="C121" s="135">
        <f>+D121+E121+F121</f>
        <v>3</v>
      </c>
      <c r="D121" s="135"/>
      <c r="E121" s="135"/>
      <c r="F121" s="128">
        <f>SUM(G121:Y121)</f>
        <v>3</v>
      </c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5"/>
      <c r="R121" s="135"/>
      <c r="S121" s="134"/>
      <c r="T121" s="134"/>
      <c r="U121" s="17">
        <v>3</v>
      </c>
      <c r="V121" s="134"/>
      <c r="W121" s="134"/>
      <c r="X121" s="134"/>
      <c r="Y121" s="134"/>
      <c r="Z121" s="130"/>
      <c r="AA121" s="130"/>
      <c r="AB121" s="130"/>
    </row>
    <row r="122" spans="1:28" ht="27.4" customHeight="1" x14ac:dyDescent="0.2">
      <c r="A122" s="126">
        <v>114</v>
      </c>
      <c r="B122" s="156" t="s">
        <v>237</v>
      </c>
      <c r="C122" s="135">
        <f t="shared" si="26"/>
        <v>835</v>
      </c>
      <c r="D122" s="135"/>
      <c r="E122" s="135"/>
      <c r="F122" s="128">
        <f t="shared" si="25"/>
        <v>835</v>
      </c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35"/>
      <c r="R122" s="135"/>
      <c r="S122" s="14"/>
      <c r="T122" s="14"/>
      <c r="U122" s="17">
        <v>835</v>
      </c>
      <c r="V122" s="14"/>
      <c r="W122" s="14"/>
      <c r="X122" s="14"/>
      <c r="Y122" s="14"/>
      <c r="Z122" s="130"/>
      <c r="AA122" s="130"/>
      <c r="AB122" s="130"/>
    </row>
    <row r="123" spans="1:28" ht="25.5" customHeight="1" x14ac:dyDescent="0.2">
      <c r="A123" s="126">
        <v>115</v>
      </c>
      <c r="B123" s="146" t="s">
        <v>238</v>
      </c>
      <c r="C123" s="135"/>
      <c r="D123" s="135"/>
      <c r="E123" s="135"/>
      <c r="F123" s="128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35"/>
      <c r="R123" s="135"/>
      <c r="S123" s="14"/>
      <c r="T123" s="14"/>
      <c r="U123" s="17"/>
      <c r="V123" s="14"/>
      <c r="W123" s="14"/>
      <c r="X123" s="14"/>
      <c r="Y123" s="14"/>
      <c r="Z123" s="130"/>
      <c r="AA123" s="130"/>
      <c r="AB123" s="130"/>
    </row>
    <row r="124" spans="1:28" s="5" customFormat="1" ht="33.75" x14ac:dyDescent="0.2">
      <c r="A124" s="126">
        <v>116</v>
      </c>
      <c r="B124" s="159" t="s">
        <v>239</v>
      </c>
      <c r="C124" s="135">
        <f>+D124+E124+F124</f>
        <v>1770</v>
      </c>
      <c r="D124" s="135"/>
      <c r="E124" s="135"/>
      <c r="F124" s="128">
        <f>SUM(G124:Y124)</f>
        <v>1770</v>
      </c>
      <c r="G124" s="134"/>
      <c r="H124" s="134"/>
      <c r="I124" s="134"/>
      <c r="J124" s="134"/>
      <c r="K124" s="134"/>
      <c r="L124" s="134"/>
      <c r="M124" s="134"/>
      <c r="N124" s="134"/>
      <c r="O124" s="134"/>
      <c r="P124" s="134"/>
      <c r="Q124" s="135"/>
      <c r="R124" s="135"/>
      <c r="S124" s="134"/>
      <c r="T124" s="134"/>
      <c r="U124" s="17">
        <v>1770</v>
      </c>
      <c r="V124" s="134"/>
      <c r="W124" s="134"/>
      <c r="X124" s="134"/>
      <c r="Y124" s="134"/>
      <c r="Z124" s="130"/>
      <c r="AA124" s="130"/>
      <c r="AB124" s="130"/>
    </row>
    <row r="125" spans="1:28" s="5" customFormat="1" ht="16.5" customHeight="1" x14ac:dyDescent="0.2">
      <c r="A125" s="126">
        <v>117</v>
      </c>
      <c r="B125" s="160" t="s">
        <v>241</v>
      </c>
      <c r="C125" s="135"/>
      <c r="D125" s="135"/>
      <c r="E125" s="135"/>
      <c r="F125" s="128"/>
      <c r="G125" s="134"/>
      <c r="H125" s="134"/>
      <c r="I125" s="134"/>
      <c r="J125" s="134"/>
      <c r="K125" s="134"/>
      <c r="L125" s="134"/>
      <c r="M125" s="134"/>
      <c r="N125" s="134"/>
      <c r="O125" s="134"/>
      <c r="P125" s="134"/>
      <c r="Q125" s="135"/>
      <c r="R125" s="135"/>
      <c r="S125" s="134"/>
      <c r="T125" s="134"/>
      <c r="U125" s="17"/>
      <c r="V125" s="134"/>
      <c r="W125" s="134"/>
      <c r="X125" s="134"/>
      <c r="Y125" s="134"/>
      <c r="Z125" s="130"/>
      <c r="AA125" s="130"/>
      <c r="AB125" s="130"/>
    </row>
    <row r="126" spans="1:28" ht="33.75" x14ac:dyDescent="0.2">
      <c r="A126" s="126">
        <v>118</v>
      </c>
      <c r="B126" s="155" t="s">
        <v>242</v>
      </c>
      <c r="C126" s="135">
        <f t="shared" si="26"/>
        <v>192.5</v>
      </c>
      <c r="D126" s="135"/>
      <c r="E126" s="135"/>
      <c r="F126" s="128">
        <f t="shared" si="25"/>
        <v>192.5</v>
      </c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5"/>
      <c r="R126" s="135"/>
      <c r="S126" s="134"/>
      <c r="T126" s="134"/>
      <c r="U126" s="17">
        <v>192.5</v>
      </c>
      <c r="V126" s="134"/>
      <c r="W126" s="134"/>
      <c r="X126" s="134"/>
      <c r="Y126" s="134"/>
      <c r="Z126" s="130"/>
      <c r="AA126" s="130"/>
      <c r="AB126" s="130"/>
    </row>
    <row r="127" spans="1:28" ht="22.5" x14ac:dyDescent="0.2">
      <c r="A127" s="126">
        <v>119</v>
      </c>
      <c r="B127" s="155" t="s">
        <v>243</v>
      </c>
      <c r="C127" s="135">
        <f t="shared" si="26"/>
        <v>50</v>
      </c>
      <c r="D127" s="135"/>
      <c r="E127" s="135"/>
      <c r="F127" s="128">
        <f t="shared" si="25"/>
        <v>50</v>
      </c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5"/>
      <c r="R127" s="135"/>
      <c r="S127" s="134"/>
      <c r="T127" s="134"/>
      <c r="U127" s="17">
        <v>50</v>
      </c>
      <c r="V127" s="134"/>
      <c r="W127" s="134"/>
      <c r="X127" s="134"/>
      <c r="Y127" s="134"/>
      <c r="Z127" s="130"/>
      <c r="AA127" s="130"/>
      <c r="AB127" s="130"/>
    </row>
    <row r="128" spans="1:28" s="5" customFormat="1" ht="62.25" customHeight="1" x14ac:dyDescent="0.2">
      <c r="A128" s="126">
        <v>120</v>
      </c>
      <c r="B128" s="150" t="s">
        <v>144</v>
      </c>
      <c r="C128" s="135">
        <f t="shared" si="26"/>
        <v>50</v>
      </c>
      <c r="D128" s="135"/>
      <c r="E128" s="135"/>
      <c r="F128" s="128">
        <f t="shared" si="25"/>
        <v>50</v>
      </c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  <c r="Q128" s="135"/>
      <c r="R128" s="135"/>
      <c r="S128" s="134"/>
      <c r="T128" s="134"/>
      <c r="U128" s="17">
        <v>50</v>
      </c>
      <c r="V128" s="134"/>
      <c r="W128" s="134"/>
      <c r="X128" s="134"/>
      <c r="Y128" s="134"/>
      <c r="Z128" s="130"/>
      <c r="AA128" s="130"/>
      <c r="AB128" s="130"/>
    </row>
    <row r="129" spans="1:28" ht="33.75" x14ac:dyDescent="0.2">
      <c r="A129" s="126">
        <v>121</v>
      </c>
      <c r="B129" s="155" t="s">
        <v>244</v>
      </c>
      <c r="C129" s="135">
        <f t="shared" si="26"/>
        <v>57.4</v>
      </c>
      <c r="D129" s="135"/>
      <c r="E129" s="135"/>
      <c r="F129" s="128">
        <f t="shared" si="25"/>
        <v>57.4</v>
      </c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5"/>
      <c r="R129" s="135"/>
      <c r="S129" s="134"/>
      <c r="T129" s="134"/>
      <c r="U129" s="17">
        <v>57.4</v>
      </c>
      <c r="V129" s="134"/>
      <c r="W129" s="134"/>
      <c r="X129" s="134"/>
      <c r="Y129" s="134"/>
      <c r="Z129" s="130"/>
      <c r="AA129" s="130"/>
      <c r="AB129" s="130"/>
    </row>
    <row r="130" spans="1:28" ht="33.950000000000003" customHeight="1" x14ac:dyDescent="0.2">
      <c r="A130" s="126">
        <v>122</v>
      </c>
      <c r="B130" s="155" t="s">
        <v>245</v>
      </c>
      <c r="C130" s="135">
        <f t="shared" si="26"/>
        <v>40</v>
      </c>
      <c r="D130" s="135"/>
      <c r="E130" s="135"/>
      <c r="F130" s="128">
        <f t="shared" si="25"/>
        <v>40</v>
      </c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5"/>
      <c r="R130" s="135"/>
      <c r="S130" s="134"/>
      <c r="T130" s="134"/>
      <c r="U130" s="17">
        <v>40</v>
      </c>
      <c r="V130" s="134"/>
      <c r="W130" s="134"/>
      <c r="X130" s="134"/>
      <c r="Y130" s="134"/>
      <c r="Z130" s="130"/>
      <c r="AA130" s="130"/>
      <c r="AB130" s="130"/>
    </row>
    <row r="131" spans="1:28" s="5" customFormat="1" ht="25.5" x14ac:dyDescent="0.2">
      <c r="A131" s="126">
        <v>123</v>
      </c>
      <c r="B131" s="154" t="s">
        <v>247</v>
      </c>
      <c r="C131" s="135"/>
      <c r="D131" s="135"/>
      <c r="E131" s="135"/>
      <c r="F131" s="128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5"/>
      <c r="R131" s="135"/>
      <c r="S131" s="134"/>
      <c r="T131" s="134"/>
      <c r="U131" s="17"/>
      <c r="V131" s="134"/>
      <c r="W131" s="134"/>
      <c r="X131" s="134"/>
      <c r="Y131" s="134"/>
      <c r="Z131" s="130"/>
      <c r="AA131" s="130"/>
      <c r="AB131" s="130"/>
    </row>
    <row r="132" spans="1:28" ht="13.35" customHeight="1" x14ac:dyDescent="0.2">
      <c r="A132" s="126">
        <v>124</v>
      </c>
      <c r="B132" s="153" t="s">
        <v>248</v>
      </c>
      <c r="C132" s="135">
        <f t="shared" si="26"/>
        <v>170</v>
      </c>
      <c r="D132" s="135"/>
      <c r="E132" s="135"/>
      <c r="F132" s="128">
        <f t="shared" si="25"/>
        <v>170</v>
      </c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5"/>
      <c r="R132" s="135"/>
      <c r="S132" s="134"/>
      <c r="T132" s="134"/>
      <c r="U132" s="17">
        <f>169.9+0.1</f>
        <v>170</v>
      </c>
      <c r="V132" s="134"/>
      <c r="W132" s="134"/>
      <c r="X132" s="134"/>
      <c r="Y132" s="134"/>
      <c r="Z132" s="130"/>
      <c r="AA132" s="130"/>
      <c r="AB132" s="130"/>
    </row>
    <row r="133" spans="1:28" x14ac:dyDescent="0.2">
      <c r="A133" s="126">
        <v>125</v>
      </c>
      <c r="B133" s="147" t="s">
        <v>249</v>
      </c>
      <c r="C133" s="135">
        <f t="shared" si="26"/>
        <v>29</v>
      </c>
      <c r="D133" s="135"/>
      <c r="E133" s="135"/>
      <c r="F133" s="128">
        <f t="shared" si="25"/>
        <v>29</v>
      </c>
      <c r="G133" s="134"/>
      <c r="H133" s="134"/>
      <c r="I133" s="134"/>
      <c r="J133" s="134"/>
      <c r="K133" s="134"/>
      <c r="L133" s="134"/>
      <c r="M133" s="134"/>
      <c r="N133" s="134"/>
      <c r="O133" s="134"/>
      <c r="P133" s="134"/>
      <c r="Q133" s="135"/>
      <c r="R133" s="135"/>
      <c r="S133" s="134"/>
      <c r="T133" s="134"/>
      <c r="U133" s="17">
        <v>29</v>
      </c>
      <c r="V133" s="134"/>
      <c r="W133" s="134"/>
      <c r="X133" s="134"/>
      <c r="Y133" s="134"/>
      <c r="Z133" s="130"/>
      <c r="AA133" s="130"/>
      <c r="AB133" s="130"/>
    </row>
    <row r="134" spans="1:28" s="5" customFormat="1" ht="15.4" customHeight="1" x14ac:dyDescent="0.2">
      <c r="A134" s="126">
        <v>126</v>
      </c>
      <c r="B134" s="155" t="s">
        <v>250</v>
      </c>
      <c r="C134" s="135">
        <f t="shared" si="26"/>
        <v>430</v>
      </c>
      <c r="D134" s="135"/>
      <c r="E134" s="135"/>
      <c r="F134" s="128">
        <f t="shared" si="25"/>
        <v>430</v>
      </c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5"/>
      <c r="R134" s="135"/>
      <c r="S134" s="134"/>
      <c r="T134" s="134"/>
      <c r="U134" s="17">
        <v>430</v>
      </c>
      <c r="V134" s="134"/>
      <c r="W134" s="134"/>
      <c r="X134" s="134"/>
      <c r="Y134" s="134"/>
      <c r="Z134" s="130"/>
      <c r="AA134" s="130"/>
      <c r="AB134" s="130"/>
    </row>
    <row r="135" spans="1:28" ht="22.5" x14ac:dyDescent="0.2">
      <c r="A135" s="126">
        <v>127</v>
      </c>
      <c r="B135" s="155" t="s">
        <v>251</v>
      </c>
      <c r="C135" s="135">
        <f t="shared" si="26"/>
        <v>75.8</v>
      </c>
      <c r="D135" s="135"/>
      <c r="E135" s="135"/>
      <c r="F135" s="128">
        <f t="shared" si="25"/>
        <v>75.8</v>
      </c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5"/>
      <c r="R135" s="135"/>
      <c r="S135" s="134"/>
      <c r="T135" s="134"/>
      <c r="U135" s="17">
        <v>75.8</v>
      </c>
      <c r="V135" s="134"/>
      <c r="W135" s="134"/>
      <c r="X135" s="134"/>
      <c r="Y135" s="134"/>
      <c r="Z135" s="130"/>
      <c r="AA135" s="130"/>
      <c r="AB135" s="130"/>
    </row>
    <row r="136" spans="1:28" ht="59.1" customHeight="1" x14ac:dyDescent="0.2">
      <c r="A136" s="126">
        <v>128</v>
      </c>
      <c r="B136" s="161" t="s">
        <v>252</v>
      </c>
      <c r="C136" s="135">
        <f t="shared" si="26"/>
        <v>90</v>
      </c>
      <c r="D136" s="135"/>
      <c r="E136" s="135"/>
      <c r="F136" s="128">
        <f t="shared" si="25"/>
        <v>90</v>
      </c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  <c r="Q136" s="135"/>
      <c r="R136" s="135"/>
      <c r="S136" s="134"/>
      <c r="T136" s="134"/>
      <c r="U136" s="26">
        <v>90</v>
      </c>
      <c r="V136" s="134"/>
      <c r="W136" s="134"/>
      <c r="X136" s="134"/>
      <c r="Y136" s="134"/>
      <c r="Z136" s="130"/>
      <c r="AA136" s="130"/>
      <c r="AB136" s="130"/>
    </row>
    <row r="137" spans="1:28" ht="26.25" customHeight="1" x14ac:dyDescent="0.2">
      <c r="A137" s="126">
        <v>129</v>
      </c>
      <c r="B137" s="162" t="s">
        <v>312</v>
      </c>
      <c r="C137" s="134">
        <f>+D137+E137+F137</f>
        <v>1423.3</v>
      </c>
      <c r="D137" s="134"/>
      <c r="E137" s="134"/>
      <c r="F137" s="163">
        <f>SUM(G137:Y137)</f>
        <v>1423.3</v>
      </c>
      <c r="G137" s="134"/>
      <c r="H137" s="134"/>
      <c r="I137" s="134"/>
      <c r="J137" s="134"/>
      <c r="K137" s="134"/>
      <c r="L137" s="134"/>
      <c r="M137" s="134"/>
      <c r="N137" s="134"/>
      <c r="O137" s="134"/>
      <c r="P137" s="134"/>
      <c r="Q137" s="134"/>
      <c r="R137" s="134"/>
      <c r="S137" s="134"/>
      <c r="T137" s="134"/>
      <c r="U137" s="164">
        <f>1573.3-150</f>
        <v>1423.3</v>
      </c>
      <c r="V137" s="134"/>
      <c r="W137" s="134"/>
      <c r="X137" s="134"/>
      <c r="Y137" s="134"/>
      <c r="Z137" s="130"/>
      <c r="AA137" s="130"/>
      <c r="AB137" s="130"/>
    </row>
    <row r="138" spans="1:28" ht="21" customHeight="1" x14ac:dyDescent="0.2">
      <c r="A138" s="126">
        <v>130</v>
      </c>
      <c r="B138" s="162" t="s">
        <v>240</v>
      </c>
      <c r="C138" s="134">
        <f>+D138+E138+F138</f>
        <v>6426</v>
      </c>
      <c r="D138" s="134"/>
      <c r="E138" s="134"/>
      <c r="F138" s="163">
        <f>SUM(G138:Y138)</f>
        <v>6426</v>
      </c>
      <c r="G138" s="134"/>
      <c r="H138" s="134"/>
      <c r="I138" s="134"/>
      <c r="J138" s="134"/>
      <c r="K138" s="134"/>
      <c r="L138" s="134"/>
      <c r="M138" s="134"/>
      <c r="N138" s="134"/>
      <c r="O138" s="134"/>
      <c r="P138" s="134"/>
      <c r="Q138" s="134"/>
      <c r="R138" s="134"/>
      <c r="S138" s="134"/>
      <c r="T138" s="134"/>
      <c r="U138" s="133">
        <f>6411-15+60+20-50</f>
        <v>6426</v>
      </c>
      <c r="V138" s="134"/>
      <c r="W138" s="134"/>
      <c r="X138" s="134"/>
      <c r="Y138" s="134"/>
      <c r="Z138" s="130"/>
      <c r="AA138" s="130"/>
      <c r="AB138" s="130"/>
    </row>
    <row r="139" spans="1:28" s="5" customFormat="1" x14ac:dyDescent="0.2">
      <c r="A139" s="126">
        <v>131</v>
      </c>
      <c r="B139" s="165" t="s">
        <v>253</v>
      </c>
      <c r="C139" s="134">
        <f t="shared" ref="C139:Y139" si="27">SUM(C92:C138)</f>
        <v>15898.5</v>
      </c>
      <c r="D139" s="134">
        <f t="shared" si="27"/>
        <v>0</v>
      </c>
      <c r="E139" s="134">
        <f t="shared" si="27"/>
        <v>0</v>
      </c>
      <c r="F139" s="134">
        <f t="shared" si="27"/>
        <v>15898.5</v>
      </c>
      <c r="G139" s="134">
        <f t="shared" si="27"/>
        <v>0</v>
      </c>
      <c r="H139" s="134">
        <f t="shared" si="27"/>
        <v>0</v>
      </c>
      <c r="I139" s="134">
        <f t="shared" si="27"/>
        <v>0</v>
      </c>
      <c r="J139" s="134">
        <f t="shared" si="27"/>
        <v>0</v>
      </c>
      <c r="K139" s="134">
        <f t="shared" si="27"/>
        <v>0</v>
      </c>
      <c r="L139" s="134">
        <f t="shared" si="27"/>
        <v>0</v>
      </c>
      <c r="M139" s="134">
        <f t="shared" si="27"/>
        <v>0</v>
      </c>
      <c r="N139" s="134">
        <f t="shared" si="27"/>
        <v>0</v>
      </c>
      <c r="O139" s="134">
        <f t="shared" si="27"/>
        <v>0</v>
      </c>
      <c r="P139" s="134">
        <f t="shared" si="27"/>
        <v>0</v>
      </c>
      <c r="Q139" s="134">
        <f t="shared" si="27"/>
        <v>0</v>
      </c>
      <c r="R139" s="134">
        <f t="shared" si="27"/>
        <v>0</v>
      </c>
      <c r="S139" s="134">
        <f t="shared" si="27"/>
        <v>0</v>
      </c>
      <c r="T139" s="134">
        <f t="shared" si="27"/>
        <v>0</v>
      </c>
      <c r="U139" s="134">
        <f t="shared" si="27"/>
        <v>15898.5</v>
      </c>
      <c r="V139" s="134">
        <f t="shared" si="27"/>
        <v>0</v>
      </c>
      <c r="W139" s="134">
        <f t="shared" si="27"/>
        <v>0</v>
      </c>
      <c r="X139" s="134">
        <f t="shared" si="27"/>
        <v>0</v>
      </c>
      <c r="Y139" s="134">
        <f t="shared" si="27"/>
        <v>0</v>
      </c>
      <c r="Z139" s="130"/>
      <c r="AA139" s="130"/>
      <c r="AB139" s="130"/>
    </row>
    <row r="140" spans="1:28" x14ac:dyDescent="0.2">
      <c r="A140" s="126">
        <v>132</v>
      </c>
      <c r="B140" s="144" t="s">
        <v>254</v>
      </c>
      <c r="C140" s="166">
        <f t="shared" ref="C140:Y140" si="28">+C139+C90</f>
        <v>68829.790000000008</v>
      </c>
      <c r="D140" s="166">
        <f t="shared" si="28"/>
        <v>32350.699999999997</v>
      </c>
      <c r="E140" s="166">
        <f t="shared" si="28"/>
        <v>471.29999999999995</v>
      </c>
      <c r="F140" s="166">
        <f t="shared" si="28"/>
        <v>36007.79</v>
      </c>
      <c r="G140" s="166">
        <f t="shared" si="28"/>
        <v>24.899999999999991</v>
      </c>
      <c r="H140" s="166">
        <f t="shared" si="28"/>
        <v>46.3</v>
      </c>
      <c r="I140" s="166">
        <f t="shared" si="28"/>
        <v>116.28999999999999</v>
      </c>
      <c r="J140" s="166">
        <f t="shared" si="28"/>
        <v>836.5</v>
      </c>
      <c r="K140" s="166">
        <f t="shared" si="28"/>
        <v>44.499999999999993</v>
      </c>
      <c r="L140" s="166">
        <f t="shared" si="28"/>
        <v>28.600000000000005</v>
      </c>
      <c r="M140" s="166">
        <f t="shared" si="28"/>
        <v>3358</v>
      </c>
      <c r="N140" s="166">
        <f t="shared" si="28"/>
        <v>1343.7000000000003</v>
      </c>
      <c r="O140" s="166">
        <f t="shared" si="28"/>
        <v>85.100000000000009</v>
      </c>
      <c r="P140" s="166">
        <f t="shared" si="28"/>
        <v>1129.8999999999999</v>
      </c>
      <c r="Q140" s="166">
        <f t="shared" si="28"/>
        <v>601.20000000000005</v>
      </c>
      <c r="R140" s="166">
        <f t="shared" si="28"/>
        <v>204.7</v>
      </c>
      <c r="S140" s="166">
        <f t="shared" si="28"/>
        <v>171.20000000000002</v>
      </c>
      <c r="T140" s="166">
        <f t="shared" si="28"/>
        <v>541.79999999999995</v>
      </c>
      <c r="U140" s="166">
        <f t="shared" si="28"/>
        <v>21949.599999999999</v>
      </c>
      <c r="V140" s="166">
        <f t="shared" si="28"/>
        <v>4105</v>
      </c>
      <c r="W140" s="166">
        <f t="shared" si="28"/>
        <v>185.5</v>
      </c>
      <c r="X140" s="166">
        <f t="shared" si="28"/>
        <v>324.5</v>
      </c>
      <c r="Y140" s="166">
        <f t="shared" si="28"/>
        <v>910.5</v>
      </c>
      <c r="Z140" s="130"/>
      <c r="AA140" s="130"/>
      <c r="AB140" s="130"/>
    </row>
    <row r="141" spans="1:28" x14ac:dyDescent="0.2">
      <c r="D141" s="2"/>
      <c r="E141" s="2"/>
      <c r="X141" s="1"/>
    </row>
    <row r="142" spans="1:28" x14ac:dyDescent="0.2">
      <c r="X142" s="1"/>
    </row>
    <row r="143" spans="1:28" x14ac:dyDescent="0.2">
      <c r="X143" s="1"/>
    </row>
    <row r="144" spans="1:28" x14ac:dyDescent="0.2">
      <c r="X144" s="1"/>
    </row>
    <row r="145" spans="6:24" x14ac:dyDescent="0.2">
      <c r="F145" s="2"/>
      <c r="X145" s="1"/>
    </row>
    <row r="146" spans="6:24" x14ac:dyDescent="0.2">
      <c r="X146" s="1"/>
    </row>
    <row r="147" spans="6:24" x14ac:dyDescent="0.2">
      <c r="X147" s="1"/>
    </row>
    <row r="148" spans="6:24" x14ac:dyDescent="0.2">
      <c r="X148" s="1"/>
    </row>
    <row r="149" spans="6:24" x14ac:dyDescent="0.2">
      <c r="X149" s="1"/>
    </row>
    <row r="150" spans="6:24" x14ac:dyDescent="0.2">
      <c r="X150" s="1"/>
    </row>
    <row r="151" spans="6:24" x14ac:dyDescent="0.2">
      <c r="X151" s="1"/>
    </row>
    <row r="152" spans="6:24" x14ac:dyDescent="0.2">
      <c r="X152" s="1"/>
    </row>
    <row r="153" spans="6:24" x14ac:dyDescent="0.2">
      <c r="X153" s="1"/>
    </row>
    <row r="154" spans="6:24" x14ac:dyDescent="0.2">
      <c r="X154" s="1"/>
    </row>
    <row r="155" spans="6:24" x14ac:dyDescent="0.2">
      <c r="X155" s="1"/>
    </row>
    <row r="156" spans="6:24" x14ac:dyDescent="0.2">
      <c r="X156" s="1"/>
    </row>
    <row r="157" spans="6:24" x14ac:dyDescent="0.2">
      <c r="X157" s="1"/>
    </row>
    <row r="158" spans="6:24" x14ac:dyDescent="0.2">
      <c r="X158" s="1"/>
    </row>
    <row r="159" spans="6:24" x14ac:dyDescent="0.2">
      <c r="X159" s="1"/>
    </row>
    <row r="160" spans="6:24" x14ac:dyDescent="0.2">
      <c r="X160" s="1"/>
    </row>
    <row r="161" spans="24:24" x14ac:dyDescent="0.2">
      <c r="X161" s="1"/>
    </row>
    <row r="162" spans="24:24" x14ac:dyDescent="0.2">
      <c r="X162" s="1"/>
    </row>
    <row r="163" spans="24:24" x14ac:dyDescent="0.2">
      <c r="X163" s="1"/>
    </row>
    <row r="164" spans="24:24" x14ac:dyDescent="0.2">
      <c r="X164" s="1"/>
    </row>
    <row r="165" spans="24:24" x14ac:dyDescent="0.2">
      <c r="X165" s="1"/>
    </row>
    <row r="166" spans="24:24" x14ac:dyDescent="0.2">
      <c r="X166" s="1"/>
    </row>
    <row r="167" spans="24:24" x14ac:dyDescent="0.2">
      <c r="X167" s="1"/>
    </row>
    <row r="168" spans="24:24" x14ac:dyDescent="0.2">
      <c r="X168" s="1"/>
    </row>
    <row r="169" spans="24:24" x14ac:dyDescent="0.2">
      <c r="X169" s="1"/>
    </row>
    <row r="170" spans="24:24" x14ac:dyDescent="0.2">
      <c r="X170" s="1"/>
    </row>
    <row r="171" spans="24:24" x14ac:dyDescent="0.2">
      <c r="X171" s="1"/>
    </row>
    <row r="172" spans="24:24" x14ac:dyDescent="0.2">
      <c r="X172" s="1"/>
    </row>
    <row r="173" spans="24:24" x14ac:dyDescent="0.2">
      <c r="X173" s="1"/>
    </row>
    <row r="174" spans="24:24" x14ac:dyDescent="0.2">
      <c r="X174" s="1"/>
    </row>
    <row r="175" spans="24:24" x14ac:dyDescent="0.2">
      <c r="X175" s="1"/>
    </row>
    <row r="176" spans="24:24" x14ac:dyDescent="0.2">
      <c r="X176" s="1"/>
    </row>
    <row r="177" spans="24:24" x14ac:dyDescent="0.2">
      <c r="X177" s="1"/>
    </row>
    <row r="178" spans="24:24" x14ac:dyDescent="0.2">
      <c r="X178" s="1"/>
    </row>
    <row r="179" spans="24:24" x14ac:dyDescent="0.2">
      <c r="X179" s="1"/>
    </row>
    <row r="180" spans="24:24" x14ac:dyDescent="0.2">
      <c r="X180" s="1"/>
    </row>
    <row r="181" spans="24:24" x14ac:dyDescent="0.2">
      <c r="X181" s="1"/>
    </row>
    <row r="182" spans="24:24" x14ac:dyDescent="0.2">
      <c r="X182" s="1"/>
    </row>
    <row r="183" spans="24:24" x14ac:dyDescent="0.2">
      <c r="X183" s="1"/>
    </row>
    <row r="184" spans="24:24" x14ac:dyDescent="0.2">
      <c r="X184" s="1"/>
    </row>
    <row r="185" spans="24:24" x14ac:dyDescent="0.2">
      <c r="X185" s="1"/>
    </row>
    <row r="186" spans="24:24" x14ac:dyDescent="0.2">
      <c r="X186" s="1"/>
    </row>
    <row r="187" spans="24:24" x14ac:dyDescent="0.2">
      <c r="X187" s="1"/>
    </row>
    <row r="188" spans="24:24" x14ac:dyDescent="0.2">
      <c r="X188" s="1"/>
    </row>
    <row r="189" spans="24:24" x14ac:dyDescent="0.2">
      <c r="X189" s="1"/>
    </row>
    <row r="190" spans="24:24" x14ac:dyDescent="0.2">
      <c r="X190" s="1"/>
    </row>
    <row r="191" spans="24:24" x14ac:dyDescent="0.2">
      <c r="X191" s="1"/>
    </row>
    <row r="192" spans="24:24" x14ac:dyDescent="0.2">
      <c r="X192" s="1"/>
    </row>
    <row r="193" spans="24:24" x14ac:dyDescent="0.2">
      <c r="X193" s="1"/>
    </row>
    <row r="194" spans="24:24" x14ac:dyDescent="0.2">
      <c r="X194" s="1"/>
    </row>
    <row r="195" spans="24:24" x14ac:dyDescent="0.2">
      <c r="X195" s="1"/>
    </row>
    <row r="196" spans="24:24" x14ac:dyDescent="0.2">
      <c r="X196" s="1"/>
    </row>
    <row r="197" spans="24:24" x14ac:dyDescent="0.2">
      <c r="X197" s="1"/>
    </row>
    <row r="198" spans="24:24" x14ac:dyDescent="0.2">
      <c r="X198" s="1"/>
    </row>
    <row r="199" spans="24:24" x14ac:dyDescent="0.2">
      <c r="X199" s="1"/>
    </row>
    <row r="200" spans="24:24" x14ac:dyDescent="0.2">
      <c r="X200" s="1"/>
    </row>
    <row r="201" spans="24:24" x14ac:dyDescent="0.2">
      <c r="X201" s="1"/>
    </row>
    <row r="202" spans="24:24" x14ac:dyDescent="0.2">
      <c r="X202" s="1"/>
    </row>
    <row r="203" spans="24:24" x14ac:dyDescent="0.2">
      <c r="X203" s="1"/>
    </row>
    <row r="204" spans="24:24" x14ac:dyDescent="0.2">
      <c r="X204" s="1"/>
    </row>
    <row r="205" spans="24:24" x14ac:dyDescent="0.2">
      <c r="X205" s="1"/>
    </row>
    <row r="206" spans="24:24" x14ac:dyDescent="0.2">
      <c r="X206" s="1"/>
    </row>
    <row r="207" spans="24:24" x14ac:dyDescent="0.2">
      <c r="X207" s="1"/>
    </row>
    <row r="208" spans="24:24" x14ac:dyDescent="0.2">
      <c r="X208" s="1"/>
    </row>
    <row r="209" spans="24:24" x14ac:dyDescent="0.2">
      <c r="X209" s="1"/>
    </row>
    <row r="210" spans="24:24" x14ac:dyDescent="0.2">
      <c r="X210" s="1"/>
    </row>
    <row r="211" spans="24:24" x14ac:dyDescent="0.2">
      <c r="X211" s="1"/>
    </row>
    <row r="212" spans="24:24" x14ac:dyDescent="0.2">
      <c r="X212" s="1"/>
    </row>
    <row r="213" spans="24:24" x14ac:dyDescent="0.2">
      <c r="X213" s="1"/>
    </row>
    <row r="214" spans="24:24" x14ac:dyDescent="0.2">
      <c r="X214" s="1"/>
    </row>
    <row r="215" spans="24:24" x14ac:dyDescent="0.2">
      <c r="X215" s="1"/>
    </row>
    <row r="216" spans="24:24" x14ac:dyDescent="0.2">
      <c r="X216" s="1"/>
    </row>
    <row r="217" spans="24:24" x14ac:dyDescent="0.2">
      <c r="X217" s="1"/>
    </row>
    <row r="218" spans="24:24" x14ac:dyDescent="0.2">
      <c r="X218" s="1"/>
    </row>
    <row r="219" spans="24:24" x14ac:dyDescent="0.2">
      <c r="X219" s="1"/>
    </row>
    <row r="220" spans="24:24" x14ac:dyDescent="0.2">
      <c r="X220" s="1"/>
    </row>
    <row r="221" spans="24:24" x14ac:dyDescent="0.2">
      <c r="X221" s="1"/>
    </row>
    <row r="222" spans="24:24" x14ac:dyDescent="0.2">
      <c r="X222" s="1"/>
    </row>
    <row r="223" spans="24:24" x14ac:dyDescent="0.2">
      <c r="X223" s="1"/>
    </row>
    <row r="224" spans="24:24" x14ac:dyDescent="0.2">
      <c r="X224" s="1"/>
    </row>
    <row r="225" spans="24:24" x14ac:dyDescent="0.2">
      <c r="X225" s="1"/>
    </row>
    <row r="226" spans="24:24" x14ac:dyDescent="0.2">
      <c r="X226" s="1"/>
    </row>
    <row r="227" spans="24:24" x14ac:dyDescent="0.2">
      <c r="X227" s="1"/>
    </row>
    <row r="228" spans="24:24" x14ac:dyDescent="0.2">
      <c r="X228" s="1"/>
    </row>
    <row r="229" spans="24:24" x14ac:dyDescent="0.2">
      <c r="X229" s="1"/>
    </row>
    <row r="230" spans="24:24" x14ac:dyDescent="0.2">
      <c r="X230" s="1"/>
    </row>
    <row r="231" spans="24:24" x14ac:dyDescent="0.2">
      <c r="X231" s="1"/>
    </row>
    <row r="232" spans="24:24" x14ac:dyDescent="0.2">
      <c r="X232" s="1"/>
    </row>
    <row r="233" spans="24:24" x14ac:dyDescent="0.2">
      <c r="X233" s="1"/>
    </row>
    <row r="234" spans="24:24" x14ac:dyDescent="0.2">
      <c r="X234" s="1"/>
    </row>
    <row r="235" spans="24:24" x14ac:dyDescent="0.2">
      <c r="X235" s="1"/>
    </row>
    <row r="236" spans="24:24" x14ac:dyDescent="0.2">
      <c r="X236" s="1"/>
    </row>
    <row r="237" spans="24:24" x14ac:dyDescent="0.2">
      <c r="X237" s="1"/>
    </row>
    <row r="238" spans="24:24" x14ac:dyDescent="0.2">
      <c r="X238" s="1"/>
    </row>
    <row r="239" spans="24:24" x14ac:dyDescent="0.2">
      <c r="X239" s="1"/>
    </row>
    <row r="240" spans="24:24" x14ac:dyDescent="0.2">
      <c r="X240" s="1"/>
    </row>
    <row r="241" spans="24:24" x14ac:dyDescent="0.2">
      <c r="X241" s="1"/>
    </row>
    <row r="242" spans="24:24" x14ac:dyDescent="0.2">
      <c r="X242" s="1"/>
    </row>
    <row r="243" spans="24:24" x14ac:dyDescent="0.2">
      <c r="X243" s="1"/>
    </row>
    <row r="244" spans="24:24" x14ac:dyDescent="0.2">
      <c r="X244" s="1"/>
    </row>
    <row r="245" spans="24:24" x14ac:dyDescent="0.2">
      <c r="X245" s="1"/>
    </row>
    <row r="246" spans="24:24" x14ac:dyDescent="0.2">
      <c r="X246" s="1"/>
    </row>
    <row r="247" spans="24:24" x14ac:dyDescent="0.2">
      <c r="X247" s="1"/>
    </row>
    <row r="248" spans="24:24" x14ac:dyDescent="0.2">
      <c r="X248" s="1"/>
    </row>
    <row r="249" spans="24:24" x14ac:dyDescent="0.2">
      <c r="X249" s="1"/>
    </row>
    <row r="250" spans="24:24" x14ac:dyDescent="0.2">
      <c r="X250" s="1"/>
    </row>
    <row r="251" spans="24:24" x14ac:dyDescent="0.2">
      <c r="X251" s="1"/>
    </row>
    <row r="252" spans="24:24" x14ac:dyDescent="0.2">
      <c r="X252" s="1"/>
    </row>
    <row r="253" spans="24:24" x14ac:dyDescent="0.2">
      <c r="X253" s="1"/>
    </row>
    <row r="254" spans="24:24" x14ac:dyDescent="0.2">
      <c r="X254" s="1"/>
    </row>
    <row r="255" spans="24:24" x14ac:dyDescent="0.2">
      <c r="X255" s="1"/>
    </row>
    <row r="256" spans="24:24" x14ac:dyDescent="0.2">
      <c r="X256" s="1"/>
    </row>
    <row r="257" spans="24:24" x14ac:dyDescent="0.2">
      <c r="X257" s="1"/>
    </row>
    <row r="258" spans="24:24" x14ac:dyDescent="0.2">
      <c r="X258" s="1"/>
    </row>
    <row r="259" spans="24:24" x14ac:dyDescent="0.2">
      <c r="X259" s="1"/>
    </row>
    <row r="260" spans="24:24" x14ac:dyDescent="0.2">
      <c r="X260" s="1"/>
    </row>
    <row r="261" spans="24:24" x14ac:dyDescent="0.2">
      <c r="X261" s="1"/>
    </row>
    <row r="262" spans="24:24" x14ac:dyDescent="0.2">
      <c r="X262" s="1"/>
    </row>
    <row r="263" spans="24:24" x14ac:dyDescent="0.2">
      <c r="X263" s="1"/>
    </row>
    <row r="264" spans="24:24" x14ac:dyDescent="0.2">
      <c r="X264" s="1"/>
    </row>
    <row r="265" spans="24:24" x14ac:dyDescent="0.2">
      <c r="X265" s="1"/>
    </row>
    <row r="266" spans="24:24" x14ac:dyDescent="0.2">
      <c r="X266" s="1"/>
    </row>
    <row r="267" spans="24:24" x14ac:dyDescent="0.2">
      <c r="X267" s="1"/>
    </row>
    <row r="268" spans="24:24" x14ac:dyDescent="0.2">
      <c r="X268" s="1"/>
    </row>
    <row r="269" spans="24:24" x14ac:dyDescent="0.2">
      <c r="X269" s="1"/>
    </row>
    <row r="270" spans="24:24" x14ac:dyDescent="0.2">
      <c r="X270" s="1"/>
    </row>
    <row r="271" spans="24:24" x14ac:dyDescent="0.2">
      <c r="X271" s="1"/>
    </row>
    <row r="272" spans="24:24" x14ac:dyDescent="0.2">
      <c r="X272" s="1"/>
    </row>
    <row r="273" spans="24:24" x14ac:dyDescent="0.2">
      <c r="X273" s="1"/>
    </row>
    <row r="274" spans="24:24" x14ac:dyDescent="0.2">
      <c r="X274" s="1"/>
    </row>
    <row r="275" spans="24:24" x14ac:dyDescent="0.2">
      <c r="X275" s="1"/>
    </row>
    <row r="276" spans="24:24" x14ac:dyDescent="0.2">
      <c r="X276" s="1"/>
    </row>
    <row r="277" spans="24:24" x14ac:dyDescent="0.2">
      <c r="X277" s="1"/>
    </row>
    <row r="278" spans="24:24" x14ac:dyDescent="0.2">
      <c r="X278" s="1"/>
    </row>
    <row r="279" spans="24:24" x14ac:dyDescent="0.2">
      <c r="X279" s="1"/>
    </row>
    <row r="280" spans="24:24" x14ac:dyDescent="0.2">
      <c r="X280" s="1"/>
    </row>
    <row r="281" spans="24:24" x14ac:dyDescent="0.2">
      <c r="X281" s="1"/>
    </row>
    <row r="282" spans="24:24" x14ac:dyDescent="0.2">
      <c r="X282" s="1"/>
    </row>
    <row r="283" spans="24:24" x14ac:dyDescent="0.2">
      <c r="X283" s="1"/>
    </row>
    <row r="284" spans="24:24" x14ac:dyDescent="0.2">
      <c r="X284" s="1"/>
    </row>
    <row r="285" spans="24:24" x14ac:dyDescent="0.2">
      <c r="X285" s="1"/>
    </row>
    <row r="286" spans="24:24" x14ac:dyDescent="0.2">
      <c r="X286" s="1"/>
    </row>
    <row r="287" spans="24:24" x14ac:dyDescent="0.2">
      <c r="X287" s="1"/>
    </row>
    <row r="288" spans="24:24" x14ac:dyDescent="0.2">
      <c r="X288" s="1"/>
    </row>
    <row r="289" spans="24:24" x14ac:dyDescent="0.2">
      <c r="X289" s="1"/>
    </row>
    <row r="290" spans="24:24" x14ac:dyDescent="0.2">
      <c r="X290" s="1"/>
    </row>
    <row r="291" spans="24:24" x14ac:dyDescent="0.2">
      <c r="X291" s="1"/>
    </row>
    <row r="292" spans="24:24" x14ac:dyDescent="0.2">
      <c r="X292" s="1"/>
    </row>
    <row r="293" spans="24:24" x14ac:dyDescent="0.2">
      <c r="X293" s="1"/>
    </row>
    <row r="294" spans="24:24" x14ac:dyDescent="0.2">
      <c r="X294" s="1"/>
    </row>
    <row r="295" spans="24:24" x14ac:dyDescent="0.2">
      <c r="X295" s="1"/>
    </row>
    <row r="296" spans="24:24" x14ac:dyDescent="0.2">
      <c r="X296" s="1"/>
    </row>
    <row r="297" spans="24:24" x14ac:dyDescent="0.2">
      <c r="X297" s="1"/>
    </row>
    <row r="298" spans="24:24" x14ac:dyDescent="0.2">
      <c r="X298" s="1"/>
    </row>
    <row r="299" spans="24:24" x14ac:dyDescent="0.2">
      <c r="X299" s="1"/>
    </row>
    <row r="300" spans="24:24" x14ac:dyDescent="0.2">
      <c r="X300" s="1"/>
    </row>
    <row r="301" spans="24:24" x14ac:dyDescent="0.2">
      <c r="X301" s="1"/>
    </row>
    <row r="302" spans="24:24" x14ac:dyDescent="0.2">
      <c r="X302" s="1"/>
    </row>
    <row r="303" spans="24:24" x14ac:dyDescent="0.2">
      <c r="X303" s="1"/>
    </row>
    <row r="304" spans="24:24" x14ac:dyDescent="0.2">
      <c r="X304" s="1"/>
    </row>
    <row r="305" spans="24:24" x14ac:dyDescent="0.2">
      <c r="X305" s="1"/>
    </row>
    <row r="306" spans="24:24" x14ac:dyDescent="0.2">
      <c r="X306" s="1"/>
    </row>
    <row r="307" spans="24:24" x14ac:dyDescent="0.2">
      <c r="X307" s="1"/>
    </row>
    <row r="308" spans="24:24" x14ac:dyDescent="0.2">
      <c r="X308" s="1"/>
    </row>
    <row r="309" spans="24:24" x14ac:dyDescent="0.2">
      <c r="X309" s="1"/>
    </row>
    <row r="310" spans="24:24" x14ac:dyDescent="0.2">
      <c r="X310" s="1"/>
    </row>
    <row r="311" spans="24:24" x14ac:dyDescent="0.2">
      <c r="X311" s="1"/>
    </row>
    <row r="312" spans="24:24" x14ac:dyDescent="0.2">
      <c r="X312" s="1"/>
    </row>
    <row r="313" spans="24:24" x14ac:dyDescent="0.2">
      <c r="X313" s="1"/>
    </row>
    <row r="314" spans="24:24" x14ac:dyDescent="0.2">
      <c r="X314" s="1"/>
    </row>
    <row r="315" spans="24:24" x14ac:dyDescent="0.2">
      <c r="X315" s="1"/>
    </row>
    <row r="316" spans="24:24" x14ac:dyDescent="0.2">
      <c r="X316" s="1"/>
    </row>
    <row r="317" spans="24:24" x14ac:dyDescent="0.2">
      <c r="X317" s="1"/>
    </row>
    <row r="318" spans="24:24" x14ac:dyDescent="0.2">
      <c r="X318" s="1"/>
    </row>
    <row r="319" spans="24:24" x14ac:dyDescent="0.2">
      <c r="X319" s="1"/>
    </row>
    <row r="320" spans="24:24" x14ac:dyDescent="0.2">
      <c r="X320" s="1"/>
    </row>
    <row r="321" spans="24:24" x14ac:dyDescent="0.2">
      <c r="X321" s="1"/>
    </row>
    <row r="322" spans="24:24" x14ac:dyDescent="0.2">
      <c r="X322" s="1"/>
    </row>
    <row r="323" spans="24:24" x14ac:dyDescent="0.2">
      <c r="X323" s="1"/>
    </row>
    <row r="324" spans="24:24" x14ac:dyDescent="0.2">
      <c r="X324" s="1"/>
    </row>
    <row r="325" spans="24:24" x14ac:dyDescent="0.2">
      <c r="X325" s="1"/>
    </row>
    <row r="326" spans="24:24" x14ac:dyDescent="0.2">
      <c r="X326" s="1"/>
    </row>
    <row r="327" spans="24:24" x14ac:dyDescent="0.2">
      <c r="X327" s="1"/>
    </row>
    <row r="328" spans="24:24" x14ac:dyDescent="0.2">
      <c r="X328" s="1"/>
    </row>
    <row r="329" spans="24:24" x14ac:dyDescent="0.2">
      <c r="X329" s="1"/>
    </row>
    <row r="330" spans="24:24" x14ac:dyDescent="0.2">
      <c r="X330" s="1"/>
    </row>
    <row r="331" spans="24:24" x14ac:dyDescent="0.2">
      <c r="X331" s="1"/>
    </row>
    <row r="332" spans="24:24" x14ac:dyDescent="0.2">
      <c r="X332" s="1"/>
    </row>
    <row r="333" spans="24:24" x14ac:dyDescent="0.2">
      <c r="X333" s="1"/>
    </row>
    <row r="334" spans="24:24" x14ac:dyDescent="0.2">
      <c r="X334" s="1"/>
    </row>
    <row r="335" spans="24:24" x14ac:dyDescent="0.2">
      <c r="X335" s="1"/>
    </row>
    <row r="336" spans="24:24" x14ac:dyDescent="0.2">
      <c r="X336" s="1"/>
    </row>
    <row r="337" spans="24:24" x14ac:dyDescent="0.2">
      <c r="X337" s="1"/>
    </row>
    <row r="338" spans="24:24" x14ac:dyDescent="0.2">
      <c r="X338" s="1"/>
    </row>
    <row r="339" spans="24:24" x14ac:dyDescent="0.2">
      <c r="X339" s="1"/>
    </row>
    <row r="340" spans="24:24" x14ac:dyDescent="0.2">
      <c r="X340" s="1"/>
    </row>
    <row r="341" spans="24:24" x14ac:dyDescent="0.2">
      <c r="X341" s="1"/>
    </row>
    <row r="342" spans="24:24" x14ac:dyDescent="0.2">
      <c r="X342" s="1"/>
    </row>
    <row r="343" spans="24:24" x14ac:dyDescent="0.2">
      <c r="X343" s="1"/>
    </row>
    <row r="344" spans="24:24" x14ac:dyDescent="0.2">
      <c r="X344" s="1"/>
    </row>
    <row r="345" spans="24:24" x14ac:dyDescent="0.2">
      <c r="X345" s="1"/>
    </row>
    <row r="346" spans="24:24" x14ac:dyDescent="0.2">
      <c r="X346" s="1"/>
    </row>
    <row r="347" spans="24:24" x14ac:dyDescent="0.2">
      <c r="X347" s="1"/>
    </row>
    <row r="348" spans="24:24" x14ac:dyDescent="0.2">
      <c r="X348" s="1"/>
    </row>
    <row r="349" spans="24:24" x14ac:dyDescent="0.2">
      <c r="X349" s="1"/>
    </row>
    <row r="350" spans="24:24" x14ac:dyDescent="0.2">
      <c r="X350" s="1"/>
    </row>
    <row r="351" spans="24:24" x14ac:dyDescent="0.2">
      <c r="X351" s="1"/>
    </row>
    <row r="352" spans="24:24" x14ac:dyDescent="0.2">
      <c r="X352" s="1"/>
    </row>
    <row r="353" spans="24:24" x14ac:dyDescent="0.2">
      <c r="X353" s="1"/>
    </row>
    <row r="354" spans="24:24" x14ac:dyDescent="0.2">
      <c r="X354" s="1"/>
    </row>
    <row r="355" spans="24:24" x14ac:dyDescent="0.2">
      <c r="X355" s="1"/>
    </row>
    <row r="356" spans="24:24" x14ac:dyDescent="0.2">
      <c r="X356" s="1"/>
    </row>
    <row r="357" spans="24:24" x14ac:dyDescent="0.2">
      <c r="X357" s="1"/>
    </row>
    <row r="358" spans="24:24" x14ac:dyDescent="0.2">
      <c r="X358" s="1"/>
    </row>
    <row r="359" spans="24:24" x14ac:dyDescent="0.2">
      <c r="X359" s="1"/>
    </row>
    <row r="360" spans="24:24" x14ac:dyDescent="0.2">
      <c r="X360" s="1"/>
    </row>
    <row r="361" spans="24:24" x14ac:dyDescent="0.2">
      <c r="X361" s="1"/>
    </row>
    <row r="362" spans="24:24" x14ac:dyDescent="0.2">
      <c r="X362" s="1"/>
    </row>
    <row r="363" spans="24:24" x14ac:dyDescent="0.2">
      <c r="X363" s="1"/>
    </row>
    <row r="364" spans="24:24" x14ac:dyDescent="0.2">
      <c r="X364" s="1"/>
    </row>
    <row r="365" spans="24:24" x14ac:dyDescent="0.2">
      <c r="X365" s="1"/>
    </row>
    <row r="366" spans="24:24" x14ac:dyDescent="0.2">
      <c r="X366" s="1"/>
    </row>
    <row r="367" spans="24:24" x14ac:dyDescent="0.2">
      <c r="X367" s="1"/>
    </row>
    <row r="368" spans="24:24" x14ac:dyDescent="0.2">
      <c r="X368" s="1"/>
    </row>
    <row r="369" spans="24:24" x14ac:dyDescent="0.2">
      <c r="X369" s="1"/>
    </row>
    <row r="370" spans="24:24" x14ac:dyDescent="0.2">
      <c r="X370" s="1"/>
    </row>
    <row r="371" spans="24:24" x14ac:dyDescent="0.2">
      <c r="X371" s="1"/>
    </row>
    <row r="372" spans="24:24" x14ac:dyDescent="0.2">
      <c r="X372" s="1"/>
    </row>
    <row r="373" spans="24:24" x14ac:dyDescent="0.2">
      <c r="X373" s="1"/>
    </row>
    <row r="374" spans="24:24" x14ac:dyDescent="0.2">
      <c r="X374" s="1"/>
    </row>
    <row r="375" spans="24:24" x14ac:dyDescent="0.2">
      <c r="X375" s="1"/>
    </row>
    <row r="376" spans="24:24" x14ac:dyDescent="0.2">
      <c r="X376" s="1"/>
    </row>
    <row r="377" spans="24:24" x14ac:dyDescent="0.2">
      <c r="X377" s="1"/>
    </row>
    <row r="378" spans="24:24" x14ac:dyDescent="0.2">
      <c r="X378" s="1"/>
    </row>
    <row r="379" spans="24:24" x14ac:dyDescent="0.2">
      <c r="X379" s="1"/>
    </row>
    <row r="380" spans="24:24" x14ac:dyDescent="0.2">
      <c r="X380" s="1"/>
    </row>
    <row r="381" spans="24:24" x14ac:dyDescent="0.2">
      <c r="X381" s="1"/>
    </row>
    <row r="382" spans="24:24" x14ac:dyDescent="0.2">
      <c r="X382" s="1"/>
    </row>
    <row r="383" spans="24:24" x14ac:dyDescent="0.2">
      <c r="X383" s="1"/>
    </row>
    <row r="384" spans="24:24" x14ac:dyDescent="0.2">
      <c r="X384" s="1"/>
    </row>
    <row r="385" spans="24:24" x14ac:dyDescent="0.2">
      <c r="X385" s="1"/>
    </row>
    <row r="386" spans="24:24" x14ac:dyDescent="0.2">
      <c r="X386" s="1"/>
    </row>
    <row r="387" spans="24:24" x14ac:dyDescent="0.2">
      <c r="X387" s="1"/>
    </row>
    <row r="388" spans="24:24" x14ac:dyDescent="0.2">
      <c r="X388" s="1"/>
    </row>
    <row r="389" spans="24:24" x14ac:dyDescent="0.2">
      <c r="X389" s="1"/>
    </row>
    <row r="390" spans="24:24" x14ac:dyDescent="0.2">
      <c r="X390" s="1"/>
    </row>
    <row r="391" spans="24:24" x14ac:dyDescent="0.2">
      <c r="X391" s="1"/>
    </row>
    <row r="392" spans="24:24" x14ac:dyDescent="0.2">
      <c r="X392" s="1"/>
    </row>
    <row r="393" spans="24:24" x14ac:dyDescent="0.2">
      <c r="X393" s="1"/>
    </row>
    <row r="394" spans="24:24" x14ac:dyDescent="0.2">
      <c r="X394" s="1"/>
    </row>
    <row r="395" spans="24:24" x14ac:dyDescent="0.2">
      <c r="X395" s="1"/>
    </row>
    <row r="396" spans="24:24" x14ac:dyDescent="0.2">
      <c r="X396" s="1"/>
    </row>
    <row r="397" spans="24:24" x14ac:dyDescent="0.2">
      <c r="X397" s="1"/>
    </row>
    <row r="398" spans="24:24" x14ac:dyDescent="0.2">
      <c r="X398" s="1"/>
    </row>
    <row r="399" spans="24:24" x14ac:dyDescent="0.2">
      <c r="X399" s="1"/>
    </row>
    <row r="400" spans="24:24" x14ac:dyDescent="0.2">
      <c r="X400" s="1"/>
    </row>
    <row r="401" spans="24:24" x14ac:dyDescent="0.2">
      <c r="X401" s="1"/>
    </row>
    <row r="402" spans="24:24" x14ac:dyDescent="0.2">
      <c r="X402" s="1"/>
    </row>
    <row r="403" spans="24:24" x14ac:dyDescent="0.2">
      <c r="X403" s="1"/>
    </row>
    <row r="404" spans="24:24" x14ac:dyDescent="0.2">
      <c r="X404" s="1"/>
    </row>
    <row r="405" spans="24:24" x14ac:dyDescent="0.2">
      <c r="X405" s="1"/>
    </row>
    <row r="406" spans="24:24" x14ac:dyDescent="0.2">
      <c r="X406" s="1"/>
    </row>
    <row r="407" spans="24:24" x14ac:dyDescent="0.2">
      <c r="X407" s="1"/>
    </row>
    <row r="408" spans="24:24" x14ac:dyDescent="0.2">
      <c r="X408" s="1"/>
    </row>
    <row r="409" spans="24:24" x14ac:dyDescent="0.2">
      <c r="X409" s="1"/>
    </row>
    <row r="410" spans="24:24" x14ac:dyDescent="0.2">
      <c r="X410" s="1"/>
    </row>
    <row r="411" spans="24:24" x14ac:dyDescent="0.2">
      <c r="X411" s="1"/>
    </row>
    <row r="412" spans="24:24" x14ac:dyDescent="0.2">
      <c r="X412" s="1"/>
    </row>
    <row r="413" spans="24:24" x14ac:dyDescent="0.2">
      <c r="X413" s="1"/>
    </row>
    <row r="414" spans="24:24" x14ac:dyDescent="0.2">
      <c r="X414" s="1"/>
    </row>
    <row r="415" spans="24:24" x14ac:dyDescent="0.2">
      <c r="X415" s="1"/>
    </row>
    <row r="416" spans="24:24" x14ac:dyDescent="0.2">
      <c r="X416" s="1"/>
    </row>
    <row r="417" spans="24:24" x14ac:dyDescent="0.2">
      <c r="X417" s="1"/>
    </row>
    <row r="418" spans="24:24" x14ac:dyDescent="0.2">
      <c r="X418" s="1"/>
    </row>
    <row r="419" spans="24:24" x14ac:dyDescent="0.2">
      <c r="X419" s="1"/>
    </row>
    <row r="420" spans="24:24" x14ac:dyDescent="0.2">
      <c r="X420" s="1"/>
    </row>
    <row r="421" spans="24:24" x14ac:dyDescent="0.2">
      <c r="X421" s="1"/>
    </row>
    <row r="422" spans="24:24" x14ac:dyDescent="0.2">
      <c r="X422" s="1"/>
    </row>
    <row r="423" spans="24:24" x14ac:dyDescent="0.2">
      <c r="X423" s="1"/>
    </row>
    <row r="424" spans="24:24" x14ac:dyDescent="0.2">
      <c r="X424" s="1"/>
    </row>
    <row r="425" spans="24:24" x14ac:dyDescent="0.2">
      <c r="X425" s="1"/>
    </row>
    <row r="426" spans="24:24" x14ac:dyDescent="0.2">
      <c r="X426" s="1"/>
    </row>
    <row r="427" spans="24:24" x14ac:dyDescent="0.2">
      <c r="X427" s="1"/>
    </row>
    <row r="428" spans="24:24" x14ac:dyDescent="0.2">
      <c r="X428" s="1"/>
    </row>
    <row r="429" spans="24:24" x14ac:dyDescent="0.2">
      <c r="X429" s="1"/>
    </row>
    <row r="430" spans="24:24" x14ac:dyDescent="0.2">
      <c r="X430" s="1"/>
    </row>
    <row r="431" spans="24:24" x14ac:dyDescent="0.2">
      <c r="X431" s="1"/>
    </row>
    <row r="432" spans="24:24" x14ac:dyDescent="0.2">
      <c r="X432" s="1"/>
    </row>
    <row r="433" spans="24:24" x14ac:dyDescent="0.2">
      <c r="X433" s="1"/>
    </row>
    <row r="434" spans="24:24" x14ac:dyDescent="0.2">
      <c r="X434" s="1"/>
    </row>
    <row r="435" spans="24:24" x14ac:dyDescent="0.2">
      <c r="X435" s="1"/>
    </row>
    <row r="436" spans="24:24" x14ac:dyDescent="0.2">
      <c r="X436" s="1"/>
    </row>
    <row r="437" spans="24:24" x14ac:dyDescent="0.2">
      <c r="X437" s="1"/>
    </row>
    <row r="438" spans="24:24" x14ac:dyDescent="0.2">
      <c r="X438" s="1"/>
    </row>
    <row r="439" spans="24:24" x14ac:dyDescent="0.2">
      <c r="X439" s="1"/>
    </row>
    <row r="440" spans="24:24" x14ac:dyDescent="0.2">
      <c r="X440" s="1"/>
    </row>
    <row r="441" spans="24:24" x14ac:dyDescent="0.2">
      <c r="X441" s="1"/>
    </row>
    <row r="442" spans="24:24" x14ac:dyDescent="0.2">
      <c r="X442" s="1"/>
    </row>
    <row r="443" spans="24:24" x14ac:dyDescent="0.2">
      <c r="X443" s="1"/>
    </row>
    <row r="444" spans="24:24" x14ac:dyDescent="0.2">
      <c r="X444" s="1"/>
    </row>
    <row r="445" spans="24:24" x14ac:dyDescent="0.2">
      <c r="X445" s="1"/>
    </row>
    <row r="446" spans="24:24" x14ac:dyDescent="0.2">
      <c r="X446" s="1"/>
    </row>
    <row r="447" spans="24:24" x14ac:dyDescent="0.2">
      <c r="X447" s="1"/>
    </row>
    <row r="448" spans="24:24" x14ac:dyDescent="0.2">
      <c r="X448" s="1"/>
    </row>
    <row r="449" spans="24:24" x14ac:dyDescent="0.2">
      <c r="X449" s="1"/>
    </row>
    <row r="450" spans="24:24" x14ac:dyDescent="0.2">
      <c r="X450" s="1"/>
    </row>
    <row r="451" spans="24:24" x14ac:dyDescent="0.2">
      <c r="X451" s="1"/>
    </row>
    <row r="452" spans="24:24" x14ac:dyDescent="0.2">
      <c r="X452" s="1"/>
    </row>
    <row r="453" spans="24:24" x14ac:dyDescent="0.2">
      <c r="X453" s="1"/>
    </row>
    <row r="454" spans="24:24" x14ac:dyDescent="0.2">
      <c r="X454" s="1"/>
    </row>
    <row r="455" spans="24:24" x14ac:dyDescent="0.2">
      <c r="X455" s="1"/>
    </row>
    <row r="456" spans="24:24" x14ac:dyDescent="0.2">
      <c r="X456" s="1"/>
    </row>
    <row r="457" spans="24:24" x14ac:dyDescent="0.2">
      <c r="X457" s="1"/>
    </row>
    <row r="458" spans="24:24" x14ac:dyDescent="0.2">
      <c r="X458" s="1"/>
    </row>
    <row r="459" spans="24:24" x14ac:dyDescent="0.2">
      <c r="X459" s="1"/>
    </row>
    <row r="460" spans="24:24" x14ac:dyDescent="0.2">
      <c r="X460" s="1"/>
    </row>
    <row r="461" spans="24:24" x14ac:dyDescent="0.2">
      <c r="X461" s="1"/>
    </row>
    <row r="462" spans="24:24" x14ac:dyDescent="0.2">
      <c r="X462" s="1"/>
    </row>
    <row r="463" spans="24:24" x14ac:dyDescent="0.2">
      <c r="X463" s="1"/>
    </row>
    <row r="464" spans="24:24" x14ac:dyDescent="0.2">
      <c r="X464" s="1"/>
    </row>
    <row r="465" spans="24:24" x14ac:dyDescent="0.2">
      <c r="X465" s="1"/>
    </row>
    <row r="466" spans="24:24" x14ac:dyDescent="0.2">
      <c r="X466" s="1"/>
    </row>
    <row r="467" spans="24:24" x14ac:dyDescent="0.2">
      <c r="X467" s="1"/>
    </row>
    <row r="468" spans="24:24" x14ac:dyDescent="0.2">
      <c r="X468" s="1"/>
    </row>
    <row r="469" spans="24:24" x14ac:dyDescent="0.2">
      <c r="X469" s="1"/>
    </row>
    <row r="470" spans="24:24" x14ac:dyDescent="0.2">
      <c r="X470" s="1"/>
    </row>
    <row r="471" spans="24:24" x14ac:dyDescent="0.2">
      <c r="X471" s="1"/>
    </row>
    <row r="472" spans="24:24" x14ac:dyDescent="0.2">
      <c r="X472" s="1"/>
    </row>
    <row r="473" spans="24:24" x14ac:dyDescent="0.2">
      <c r="X473" s="1"/>
    </row>
    <row r="474" spans="24:24" x14ac:dyDescent="0.2">
      <c r="X474" s="1"/>
    </row>
    <row r="475" spans="24:24" x14ac:dyDescent="0.2">
      <c r="X475" s="1"/>
    </row>
    <row r="476" spans="24:24" x14ac:dyDescent="0.2">
      <c r="X476" s="1"/>
    </row>
    <row r="477" spans="24:24" x14ac:dyDescent="0.2">
      <c r="X477" s="1"/>
    </row>
    <row r="478" spans="24:24" x14ac:dyDescent="0.2">
      <c r="X478" s="1"/>
    </row>
    <row r="479" spans="24:24" x14ac:dyDescent="0.2">
      <c r="X479" s="1"/>
    </row>
    <row r="480" spans="24:24" x14ac:dyDescent="0.2">
      <c r="X480" s="1"/>
    </row>
    <row r="481" spans="24:24" x14ac:dyDescent="0.2">
      <c r="X481" s="1"/>
    </row>
    <row r="482" spans="24:24" x14ac:dyDescent="0.2">
      <c r="X482" s="1"/>
    </row>
    <row r="483" spans="24:24" x14ac:dyDescent="0.2">
      <c r="X483" s="1"/>
    </row>
    <row r="484" spans="24:24" x14ac:dyDescent="0.2">
      <c r="X484" s="1"/>
    </row>
    <row r="485" spans="24:24" x14ac:dyDescent="0.2">
      <c r="X485" s="1"/>
    </row>
    <row r="486" spans="24:24" x14ac:dyDescent="0.2">
      <c r="X486" s="1"/>
    </row>
    <row r="487" spans="24:24" x14ac:dyDescent="0.2">
      <c r="X487" s="1"/>
    </row>
    <row r="488" spans="24:24" x14ac:dyDescent="0.2">
      <c r="X488" s="1"/>
    </row>
    <row r="489" spans="24:24" x14ac:dyDescent="0.2">
      <c r="X489" s="1"/>
    </row>
    <row r="490" spans="24:24" x14ac:dyDescent="0.2">
      <c r="X490" s="1"/>
    </row>
    <row r="491" spans="24:24" x14ac:dyDescent="0.2">
      <c r="X491" s="1"/>
    </row>
    <row r="492" spans="24:24" x14ac:dyDescent="0.2">
      <c r="X492" s="1"/>
    </row>
    <row r="493" spans="24:24" x14ac:dyDescent="0.2">
      <c r="X493" s="1"/>
    </row>
    <row r="494" spans="24:24" x14ac:dyDescent="0.2">
      <c r="X494" s="1"/>
    </row>
    <row r="495" spans="24:24" x14ac:dyDescent="0.2">
      <c r="X495" s="1"/>
    </row>
    <row r="496" spans="24:24" x14ac:dyDescent="0.2">
      <c r="X496" s="1"/>
    </row>
    <row r="497" spans="24:24" x14ac:dyDescent="0.2">
      <c r="X497" s="1"/>
    </row>
    <row r="498" spans="24:24" x14ac:dyDescent="0.2">
      <c r="X498" s="1"/>
    </row>
    <row r="499" spans="24:24" x14ac:dyDescent="0.2">
      <c r="X499" s="1"/>
    </row>
    <row r="500" spans="24:24" x14ac:dyDescent="0.2">
      <c r="X500" s="1"/>
    </row>
    <row r="501" spans="24:24" x14ac:dyDescent="0.2">
      <c r="X501" s="1"/>
    </row>
    <row r="502" spans="24:24" x14ac:dyDescent="0.2">
      <c r="X502" s="1"/>
    </row>
    <row r="503" spans="24:24" x14ac:dyDescent="0.2">
      <c r="X503" s="1"/>
    </row>
    <row r="504" spans="24:24" x14ac:dyDescent="0.2">
      <c r="X504" s="1"/>
    </row>
    <row r="505" spans="24:24" x14ac:dyDescent="0.2">
      <c r="X505" s="1"/>
    </row>
    <row r="506" spans="24:24" x14ac:dyDescent="0.2">
      <c r="X506" s="1"/>
    </row>
    <row r="507" spans="24:24" x14ac:dyDescent="0.2">
      <c r="X507" s="1"/>
    </row>
    <row r="508" spans="24:24" x14ac:dyDescent="0.2">
      <c r="X508" s="1"/>
    </row>
    <row r="509" spans="24:24" x14ac:dyDescent="0.2">
      <c r="X509" s="1"/>
    </row>
    <row r="510" spans="24:24" x14ac:dyDescent="0.2">
      <c r="X510" s="1"/>
    </row>
    <row r="511" spans="24:24" x14ac:dyDescent="0.2">
      <c r="X511" s="1"/>
    </row>
    <row r="512" spans="24:24" x14ac:dyDescent="0.2">
      <c r="X512" s="1"/>
    </row>
    <row r="513" spans="24:24" x14ac:dyDescent="0.2">
      <c r="X513" s="1"/>
    </row>
    <row r="514" spans="24:24" x14ac:dyDescent="0.2">
      <c r="X514" s="1"/>
    </row>
    <row r="515" spans="24:24" x14ac:dyDescent="0.2">
      <c r="X515" s="1"/>
    </row>
    <row r="516" spans="24:24" x14ac:dyDescent="0.2">
      <c r="X516" s="1"/>
    </row>
    <row r="517" spans="24:24" x14ac:dyDescent="0.2">
      <c r="X517" s="1"/>
    </row>
    <row r="518" spans="24:24" x14ac:dyDescent="0.2">
      <c r="X518" s="1"/>
    </row>
    <row r="519" spans="24:24" x14ac:dyDescent="0.2">
      <c r="X519" s="1"/>
    </row>
    <row r="520" spans="24:24" x14ac:dyDescent="0.2">
      <c r="X520" s="1"/>
    </row>
    <row r="521" spans="24:24" x14ac:dyDescent="0.2">
      <c r="X521" s="1"/>
    </row>
    <row r="522" spans="24:24" x14ac:dyDescent="0.2">
      <c r="X522" s="1"/>
    </row>
    <row r="523" spans="24:24" x14ac:dyDescent="0.2">
      <c r="X523" s="1"/>
    </row>
    <row r="524" spans="24:24" x14ac:dyDescent="0.2">
      <c r="X524" s="1"/>
    </row>
    <row r="525" spans="24:24" x14ac:dyDescent="0.2">
      <c r="X525" s="1"/>
    </row>
    <row r="526" spans="24:24" x14ac:dyDescent="0.2">
      <c r="X526" s="1"/>
    </row>
    <row r="527" spans="24:24" x14ac:dyDescent="0.2">
      <c r="X527" s="1"/>
    </row>
    <row r="528" spans="24:24" x14ac:dyDescent="0.2">
      <c r="X528" s="1"/>
    </row>
    <row r="529" spans="24:24" x14ac:dyDescent="0.2">
      <c r="X529" s="1"/>
    </row>
    <row r="530" spans="24:24" x14ac:dyDescent="0.2">
      <c r="X530" s="1"/>
    </row>
    <row r="531" spans="24:24" x14ac:dyDescent="0.2">
      <c r="X531" s="1"/>
    </row>
    <row r="532" spans="24:24" x14ac:dyDescent="0.2">
      <c r="X532" s="1"/>
    </row>
    <row r="533" spans="24:24" x14ac:dyDescent="0.2">
      <c r="X533" s="1"/>
    </row>
    <row r="534" spans="24:24" x14ac:dyDescent="0.2">
      <c r="X534" s="1"/>
    </row>
    <row r="535" spans="24:24" x14ac:dyDescent="0.2">
      <c r="X535" s="1"/>
    </row>
    <row r="536" spans="24:24" x14ac:dyDescent="0.2">
      <c r="X536" s="1"/>
    </row>
    <row r="537" spans="24:24" x14ac:dyDescent="0.2">
      <c r="X537" s="1"/>
    </row>
    <row r="538" spans="24:24" x14ac:dyDescent="0.2">
      <c r="X538" s="1"/>
    </row>
    <row r="539" spans="24:24" x14ac:dyDescent="0.2">
      <c r="X539" s="1"/>
    </row>
    <row r="540" spans="24:24" x14ac:dyDescent="0.2">
      <c r="X540" s="1"/>
    </row>
    <row r="541" spans="24:24" x14ac:dyDescent="0.2">
      <c r="X541" s="1"/>
    </row>
    <row r="542" spans="24:24" x14ac:dyDescent="0.2">
      <c r="X542" s="1"/>
    </row>
    <row r="543" spans="24:24" x14ac:dyDescent="0.2">
      <c r="X543" s="1"/>
    </row>
    <row r="544" spans="24:24" x14ac:dyDescent="0.2">
      <c r="X544" s="1"/>
    </row>
    <row r="545" spans="24:24" x14ac:dyDescent="0.2">
      <c r="X545" s="1"/>
    </row>
    <row r="546" spans="24:24" x14ac:dyDescent="0.2">
      <c r="X546" s="1"/>
    </row>
    <row r="547" spans="24:24" x14ac:dyDescent="0.2">
      <c r="X547" s="1"/>
    </row>
    <row r="548" spans="24:24" x14ac:dyDescent="0.2">
      <c r="X548" s="1"/>
    </row>
    <row r="549" spans="24:24" x14ac:dyDescent="0.2">
      <c r="X549" s="1"/>
    </row>
    <row r="550" spans="24:24" x14ac:dyDescent="0.2">
      <c r="X550" s="1"/>
    </row>
    <row r="551" spans="24:24" x14ac:dyDescent="0.2">
      <c r="X551" s="1"/>
    </row>
    <row r="552" spans="24:24" x14ac:dyDescent="0.2">
      <c r="X552" s="1"/>
    </row>
    <row r="553" spans="24:24" x14ac:dyDescent="0.2">
      <c r="X553" s="1"/>
    </row>
    <row r="554" spans="24:24" x14ac:dyDescent="0.2">
      <c r="X554" s="1"/>
    </row>
    <row r="555" spans="24:24" x14ac:dyDescent="0.2">
      <c r="X555" s="1"/>
    </row>
    <row r="556" spans="24:24" x14ac:dyDescent="0.2">
      <c r="X556" s="1"/>
    </row>
    <row r="557" spans="24:24" x14ac:dyDescent="0.2">
      <c r="X557" s="1"/>
    </row>
    <row r="558" spans="24:24" x14ac:dyDescent="0.2">
      <c r="X558" s="1"/>
    </row>
    <row r="559" spans="24:24" x14ac:dyDescent="0.2">
      <c r="X559" s="1"/>
    </row>
    <row r="560" spans="24:24" x14ac:dyDescent="0.2">
      <c r="X560" s="1"/>
    </row>
    <row r="561" spans="24:24" x14ac:dyDescent="0.2">
      <c r="X561" s="1"/>
    </row>
    <row r="562" spans="24:24" x14ac:dyDescent="0.2">
      <c r="X562" s="1"/>
    </row>
    <row r="563" spans="24:24" x14ac:dyDescent="0.2">
      <c r="X563" s="1"/>
    </row>
    <row r="564" spans="24:24" x14ac:dyDescent="0.2">
      <c r="X564" s="1"/>
    </row>
    <row r="565" spans="24:24" x14ac:dyDescent="0.2">
      <c r="X565" s="1"/>
    </row>
    <row r="566" spans="24:24" x14ac:dyDescent="0.2">
      <c r="X566" s="1"/>
    </row>
    <row r="567" spans="24:24" x14ac:dyDescent="0.2">
      <c r="X567" s="1"/>
    </row>
    <row r="568" spans="24:24" x14ac:dyDescent="0.2">
      <c r="X568" s="1"/>
    </row>
    <row r="569" spans="24:24" x14ac:dyDescent="0.2">
      <c r="X569" s="1"/>
    </row>
    <row r="570" spans="24:24" x14ac:dyDescent="0.2">
      <c r="X570" s="1"/>
    </row>
    <row r="571" spans="24:24" x14ac:dyDescent="0.2">
      <c r="X571" s="1"/>
    </row>
    <row r="572" spans="24:24" x14ac:dyDescent="0.2">
      <c r="X572" s="1"/>
    </row>
    <row r="573" spans="24:24" x14ac:dyDescent="0.2">
      <c r="X573" s="1"/>
    </row>
    <row r="574" spans="24:24" x14ac:dyDescent="0.2">
      <c r="X574" s="1"/>
    </row>
    <row r="575" spans="24:24" x14ac:dyDescent="0.2">
      <c r="X575" s="1"/>
    </row>
    <row r="576" spans="24:24" x14ac:dyDescent="0.2">
      <c r="X576" s="1"/>
    </row>
    <row r="577" spans="24:24" x14ac:dyDescent="0.2">
      <c r="X577" s="1"/>
    </row>
    <row r="578" spans="24:24" x14ac:dyDescent="0.2">
      <c r="X578" s="1"/>
    </row>
    <row r="579" spans="24:24" x14ac:dyDescent="0.2">
      <c r="X579" s="1"/>
    </row>
    <row r="580" spans="24:24" x14ac:dyDescent="0.2">
      <c r="X580" s="1"/>
    </row>
    <row r="581" spans="24:24" x14ac:dyDescent="0.2">
      <c r="X581" s="1"/>
    </row>
    <row r="582" spans="24:24" x14ac:dyDescent="0.2">
      <c r="X582" s="1"/>
    </row>
    <row r="583" spans="24:24" x14ac:dyDescent="0.2">
      <c r="X583" s="1"/>
    </row>
    <row r="584" spans="24:24" x14ac:dyDescent="0.2">
      <c r="X584" s="1"/>
    </row>
    <row r="585" spans="24:24" x14ac:dyDescent="0.2">
      <c r="X585" s="1"/>
    </row>
    <row r="586" spans="24:24" x14ac:dyDescent="0.2">
      <c r="X586" s="1"/>
    </row>
    <row r="587" spans="24:24" x14ac:dyDescent="0.2">
      <c r="X587" s="1"/>
    </row>
    <row r="588" spans="24:24" x14ac:dyDescent="0.2">
      <c r="X588" s="1"/>
    </row>
    <row r="589" spans="24:24" x14ac:dyDescent="0.2">
      <c r="X589" s="1"/>
    </row>
    <row r="590" spans="24:24" x14ac:dyDescent="0.2">
      <c r="X590" s="1"/>
    </row>
    <row r="591" spans="24:24" x14ac:dyDescent="0.2">
      <c r="X591" s="1"/>
    </row>
    <row r="592" spans="24:24" x14ac:dyDescent="0.2">
      <c r="X592" s="1"/>
    </row>
    <row r="593" spans="24:24" x14ac:dyDescent="0.2">
      <c r="X593" s="1"/>
    </row>
    <row r="594" spans="24:24" x14ac:dyDescent="0.2">
      <c r="X594" s="1"/>
    </row>
    <row r="595" spans="24:24" x14ac:dyDescent="0.2">
      <c r="X595" s="1"/>
    </row>
    <row r="596" spans="24:24" x14ac:dyDescent="0.2">
      <c r="X596" s="1"/>
    </row>
    <row r="597" spans="24:24" x14ac:dyDescent="0.2">
      <c r="X597" s="1"/>
    </row>
    <row r="598" spans="24:24" x14ac:dyDescent="0.2">
      <c r="X598" s="1"/>
    </row>
    <row r="599" spans="24:24" x14ac:dyDescent="0.2">
      <c r="X599" s="1"/>
    </row>
    <row r="600" spans="24:24" x14ac:dyDescent="0.2">
      <c r="X600" s="1"/>
    </row>
    <row r="601" spans="24:24" x14ac:dyDescent="0.2">
      <c r="X601" s="1"/>
    </row>
    <row r="602" spans="24:24" x14ac:dyDescent="0.2">
      <c r="X602" s="1"/>
    </row>
    <row r="603" spans="24:24" x14ac:dyDescent="0.2">
      <c r="X603" s="1"/>
    </row>
    <row r="604" spans="24:24" x14ac:dyDescent="0.2">
      <c r="X604" s="1"/>
    </row>
    <row r="605" spans="24:24" x14ac:dyDescent="0.2">
      <c r="X605" s="1"/>
    </row>
    <row r="606" spans="24:24" x14ac:dyDescent="0.2">
      <c r="X606" s="1"/>
    </row>
    <row r="607" spans="24:24" x14ac:dyDescent="0.2">
      <c r="X607" s="1"/>
    </row>
    <row r="608" spans="24:24" x14ac:dyDescent="0.2">
      <c r="X608" s="1"/>
    </row>
    <row r="609" spans="24:24" x14ac:dyDescent="0.2">
      <c r="X609" s="1"/>
    </row>
    <row r="610" spans="24:24" x14ac:dyDescent="0.2">
      <c r="X610" s="1"/>
    </row>
    <row r="611" spans="24:24" x14ac:dyDescent="0.2">
      <c r="X611" s="1"/>
    </row>
    <row r="612" spans="24:24" x14ac:dyDescent="0.2">
      <c r="X612" s="1"/>
    </row>
    <row r="613" spans="24:24" x14ac:dyDescent="0.2">
      <c r="X613" s="1"/>
    </row>
    <row r="614" spans="24:24" x14ac:dyDescent="0.2">
      <c r="X614" s="1"/>
    </row>
    <row r="615" spans="24:24" x14ac:dyDescent="0.2">
      <c r="X615" s="1"/>
    </row>
    <row r="616" spans="24:24" x14ac:dyDescent="0.2">
      <c r="X616" s="1"/>
    </row>
    <row r="617" spans="24:24" x14ac:dyDescent="0.2">
      <c r="X617" s="1"/>
    </row>
    <row r="618" spans="24:24" x14ac:dyDescent="0.2">
      <c r="X618" s="1"/>
    </row>
    <row r="619" spans="24:24" x14ac:dyDescent="0.2">
      <c r="X619" s="1"/>
    </row>
    <row r="620" spans="24:24" x14ac:dyDescent="0.2">
      <c r="X620" s="1"/>
    </row>
    <row r="621" spans="24:24" x14ac:dyDescent="0.2">
      <c r="X621" s="1"/>
    </row>
    <row r="622" spans="24:24" x14ac:dyDescent="0.2">
      <c r="X622" s="1"/>
    </row>
    <row r="623" spans="24:24" x14ac:dyDescent="0.2">
      <c r="X623" s="1"/>
    </row>
    <row r="624" spans="24:24" x14ac:dyDescent="0.2">
      <c r="X624" s="1"/>
    </row>
    <row r="625" spans="24:24" x14ac:dyDescent="0.2">
      <c r="X625" s="1"/>
    </row>
    <row r="626" spans="24:24" x14ac:dyDescent="0.2">
      <c r="X626" s="1"/>
    </row>
    <row r="627" spans="24:24" x14ac:dyDescent="0.2">
      <c r="X627" s="1"/>
    </row>
    <row r="628" spans="24:24" x14ac:dyDescent="0.2">
      <c r="X628" s="1"/>
    </row>
    <row r="629" spans="24:24" x14ac:dyDescent="0.2">
      <c r="X629" s="1"/>
    </row>
    <row r="630" spans="24:24" x14ac:dyDescent="0.2">
      <c r="X630" s="1"/>
    </row>
    <row r="631" spans="24:24" x14ac:dyDescent="0.2">
      <c r="X631" s="1"/>
    </row>
    <row r="632" spans="24:24" x14ac:dyDescent="0.2">
      <c r="X632" s="1"/>
    </row>
    <row r="633" spans="24:24" x14ac:dyDescent="0.2">
      <c r="X633" s="1"/>
    </row>
    <row r="634" spans="24:24" x14ac:dyDescent="0.2">
      <c r="X634" s="1"/>
    </row>
    <row r="635" spans="24:24" x14ac:dyDescent="0.2">
      <c r="X635" s="1"/>
    </row>
    <row r="636" spans="24:24" x14ac:dyDescent="0.2">
      <c r="X636" s="1"/>
    </row>
    <row r="637" spans="24:24" x14ac:dyDescent="0.2">
      <c r="X637" s="1"/>
    </row>
    <row r="638" spans="24:24" x14ac:dyDescent="0.2">
      <c r="X638" s="1"/>
    </row>
    <row r="639" spans="24:24" x14ac:dyDescent="0.2">
      <c r="X639" s="1"/>
    </row>
    <row r="640" spans="24:24" x14ac:dyDescent="0.2">
      <c r="X640" s="1"/>
    </row>
    <row r="641" spans="24:24" x14ac:dyDescent="0.2">
      <c r="X641" s="1"/>
    </row>
    <row r="642" spans="24:24" x14ac:dyDescent="0.2">
      <c r="X642" s="1"/>
    </row>
    <row r="643" spans="24:24" x14ac:dyDescent="0.2">
      <c r="X643" s="1"/>
    </row>
    <row r="644" spans="24:24" x14ac:dyDescent="0.2">
      <c r="X644" s="1"/>
    </row>
    <row r="645" spans="24:24" x14ac:dyDescent="0.2">
      <c r="X645" s="1"/>
    </row>
    <row r="646" spans="24:24" x14ac:dyDescent="0.2">
      <c r="X646" s="1"/>
    </row>
    <row r="647" spans="24:24" x14ac:dyDescent="0.2">
      <c r="X647" s="1"/>
    </row>
    <row r="648" spans="24:24" x14ac:dyDescent="0.2">
      <c r="X648" s="1"/>
    </row>
    <row r="649" spans="24:24" x14ac:dyDescent="0.2">
      <c r="X649" s="1"/>
    </row>
    <row r="650" spans="24:24" x14ac:dyDescent="0.2">
      <c r="X650" s="1"/>
    </row>
    <row r="651" spans="24:24" x14ac:dyDescent="0.2">
      <c r="X651" s="1"/>
    </row>
    <row r="652" spans="24:24" x14ac:dyDescent="0.2">
      <c r="X652" s="1"/>
    </row>
    <row r="653" spans="24:24" x14ac:dyDescent="0.2">
      <c r="X653" s="1"/>
    </row>
    <row r="654" spans="24:24" x14ac:dyDescent="0.2">
      <c r="X654" s="1"/>
    </row>
    <row r="655" spans="24:24" x14ac:dyDescent="0.2">
      <c r="X655" s="1"/>
    </row>
    <row r="656" spans="24:24" x14ac:dyDescent="0.2">
      <c r="X656" s="1"/>
    </row>
    <row r="657" spans="24:24" x14ac:dyDescent="0.2">
      <c r="X657" s="1"/>
    </row>
    <row r="658" spans="24:24" x14ac:dyDescent="0.2">
      <c r="X658" s="1"/>
    </row>
    <row r="659" spans="24:24" x14ac:dyDescent="0.2">
      <c r="X659" s="1"/>
    </row>
    <row r="660" spans="24:24" x14ac:dyDescent="0.2">
      <c r="X660" s="1"/>
    </row>
    <row r="661" spans="24:24" x14ac:dyDescent="0.2">
      <c r="X661" s="1"/>
    </row>
    <row r="662" spans="24:24" x14ac:dyDescent="0.2">
      <c r="X662" s="1"/>
    </row>
    <row r="663" spans="24:24" x14ac:dyDescent="0.2">
      <c r="X663" s="1"/>
    </row>
    <row r="664" spans="24:24" x14ac:dyDescent="0.2">
      <c r="X664" s="1"/>
    </row>
    <row r="665" spans="24:24" x14ac:dyDescent="0.2">
      <c r="X665" s="1"/>
    </row>
    <row r="666" spans="24:24" x14ac:dyDescent="0.2">
      <c r="X666" s="1"/>
    </row>
    <row r="667" spans="24:24" x14ac:dyDescent="0.2">
      <c r="X667" s="1"/>
    </row>
    <row r="668" spans="24:24" x14ac:dyDescent="0.2">
      <c r="X668" s="1"/>
    </row>
    <row r="669" spans="24:24" x14ac:dyDescent="0.2">
      <c r="X669" s="1"/>
    </row>
    <row r="670" spans="24:24" x14ac:dyDescent="0.2">
      <c r="X670" s="1"/>
    </row>
    <row r="671" spans="24:24" x14ac:dyDescent="0.2">
      <c r="X671" s="1"/>
    </row>
    <row r="672" spans="24:24" x14ac:dyDescent="0.2">
      <c r="X672" s="1"/>
    </row>
    <row r="673" spans="24:24" x14ac:dyDescent="0.2">
      <c r="X673" s="1"/>
    </row>
    <row r="674" spans="24:24" x14ac:dyDescent="0.2">
      <c r="X674" s="1"/>
    </row>
    <row r="675" spans="24:24" x14ac:dyDescent="0.2">
      <c r="X675" s="1"/>
    </row>
    <row r="676" spans="24:24" x14ac:dyDescent="0.2">
      <c r="X676" s="1"/>
    </row>
    <row r="677" spans="24:24" x14ac:dyDescent="0.2">
      <c r="X677" s="1"/>
    </row>
    <row r="678" spans="24:24" x14ac:dyDescent="0.2">
      <c r="X678" s="1"/>
    </row>
    <row r="679" spans="24:24" x14ac:dyDescent="0.2">
      <c r="X679" s="1"/>
    </row>
    <row r="680" spans="24:24" x14ac:dyDescent="0.2">
      <c r="X680" s="1"/>
    </row>
    <row r="681" spans="24:24" x14ac:dyDescent="0.2">
      <c r="X681" s="1"/>
    </row>
    <row r="682" spans="24:24" x14ac:dyDescent="0.2">
      <c r="X682" s="1"/>
    </row>
    <row r="683" spans="24:24" x14ac:dyDescent="0.2">
      <c r="X683" s="1"/>
    </row>
    <row r="684" spans="24:24" x14ac:dyDescent="0.2">
      <c r="X684" s="1"/>
    </row>
    <row r="685" spans="24:24" x14ac:dyDescent="0.2">
      <c r="X685" s="1"/>
    </row>
    <row r="686" spans="24:24" x14ac:dyDescent="0.2">
      <c r="X686" s="1"/>
    </row>
    <row r="687" spans="24:24" x14ac:dyDescent="0.2">
      <c r="X687" s="1"/>
    </row>
    <row r="688" spans="24:24" x14ac:dyDescent="0.2">
      <c r="X688" s="1"/>
    </row>
    <row r="689" spans="24:24" x14ac:dyDescent="0.2">
      <c r="X689" s="1"/>
    </row>
    <row r="690" spans="24:24" x14ac:dyDescent="0.2">
      <c r="X690" s="1"/>
    </row>
    <row r="691" spans="24:24" x14ac:dyDescent="0.2">
      <c r="X691" s="1"/>
    </row>
    <row r="692" spans="24:24" x14ac:dyDescent="0.2">
      <c r="X692" s="1"/>
    </row>
    <row r="693" spans="24:24" x14ac:dyDescent="0.2">
      <c r="X693" s="1"/>
    </row>
    <row r="694" spans="24:24" x14ac:dyDescent="0.2">
      <c r="X694" s="1"/>
    </row>
  </sheetData>
  <mergeCells count="4">
    <mergeCell ref="A4:A7"/>
    <mergeCell ref="V1:Y1"/>
    <mergeCell ref="P4:S4"/>
    <mergeCell ref="W4:X5"/>
  </mergeCells>
  <pageMargins left="0.31496062992125984" right="0" top="0.74803149606299213" bottom="0.55118110236220474" header="0.31496062992125984" footer="0.31496062992125984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2A9E0-44EA-48C2-A133-BCF2ABF4E1D3}">
  <dimension ref="A1:F63"/>
  <sheetViews>
    <sheetView zoomScaleNormal="100" workbookViewId="0">
      <selection activeCell="C9" sqref="C9"/>
    </sheetView>
  </sheetViews>
  <sheetFormatPr defaultRowHeight="12.75" x14ac:dyDescent="0.2"/>
  <cols>
    <col min="1" max="1" width="5.85546875" style="20" customWidth="1"/>
    <col min="2" max="2" width="6.7109375" style="25" customWidth="1"/>
    <col min="3" max="3" width="68.7109375" style="28" customWidth="1"/>
    <col min="4" max="4" width="9.7109375" style="28" customWidth="1"/>
    <col min="5" max="16384" width="9.140625" style="58"/>
  </cols>
  <sheetData>
    <row r="1" spans="1:4" x14ac:dyDescent="0.2">
      <c r="C1" s="192" t="s">
        <v>256</v>
      </c>
      <c r="D1" s="192"/>
    </row>
    <row r="2" spans="1:4" x14ac:dyDescent="0.2">
      <c r="C2" s="20"/>
      <c r="D2" s="20"/>
    </row>
    <row r="3" spans="1:4" ht="32.25" customHeight="1" x14ac:dyDescent="0.2">
      <c r="A3" s="193" t="s">
        <v>259</v>
      </c>
      <c r="B3" s="193"/>
      <c r="C3" s="193"/>
      <c r="D3" s="193"/>
    </row>
    <row r="4" spans="1:4" x14ac:dyDescent="0.2">
      <c r="B4" s="29"/>
      <c r="D4" s="20" t="s">
        <v>58</v>
      </c>
    </row>
    <row r="5" spans="1:4" ht="38.25" x14ac:dyDescent="0.2">
      <c r="A5" s="30" t="s">
        <v>91</v>
      </c>
      <c r="B5" s="31" t="s">
        <v>92</v>
      </c>
      <c r="C5" s="30" t="s">
        <v>93</v>
      </c>
      <c r="D5" s="30" t="s">
        <v>54</v>
      </c>
    </row>
    <row r="6" spans="1:4" x14ac:dyDescent="0.2">
      <c r="A6" s="32">
        <v>1</v>
      </c>
      <c r="B6" s="33" t="s">
        <v>94</v>
      </c>
      <c r="C6" s="30">
        <v>3</v>
      </c>
      <c r="D6" s="30">
        <v>4</v>
      </c>
    </row>
    <row r="7" spans="1:4" x14ac:dyDescent="0.2">
      <c r="A7" s="34">
        <v>1</v>
      </c>
      <c r="B7" s="33" t="s">
        <v>49</v>
      </c>
      <c r="C7" s="35" t="s">
        <v>95</v>
      </c>
      <c r="D7" s="37">
        <f>SUM(D8:D20)</f>
        <v>2020.5</v>
      </c>
    </row>
    <row r="8" spans="1:4" ht="25.5" x14ac:dyDescent="0.2">
      <c r="A8" s="34">
        <v>2</v>
      </c>
      <c r="B8" s="22"/>
      <c r="C8" s="45" t="s">
        <v>101</v>
      </c>
      <c r="D8" s="39">
        <v>40</v>
      </c>
    </row>
    <row r="9" spans="1:4" x14ac:dyDescent="0.2">
      <c r="A9" s="34">
        <v>3</v>
      </c>
      <c r="B9" s="22"/>
      <c r="C9" s="19" t="s">
        <v>274</v>
      </c>
      <c r="D9" s="39">
        <v>150</v>
      </c>
    </row>
    <row r="10" spans="1:4" x14ac:dyDescent="0.2">
      <c r="A10" s="34">
        <v>4</v>
      </c>
      <c r="B10" s="22"/>
      <c r="C10" s="16" t="s">
        <v>122</v>
      </c>
      <c r="D10" s="39">
        <v>150</v>
      </c>
    </row>
    <row r="11" spans="1:4" x14ac:dyDescent="0.2">
      <c r="A11" s="34">
        <v>5</v>
      </c>
      <c r="B11" s="22"/>
      <c r="C11" s="60" t="s">
        <v>275</v>
      </c>
      <c r="D11" s="39">
        <v>100</v>
      </c>
    </row>
    <row r="12" spans="1:4" ht="12.75" customHeight="1" x14ac:dyDescent="0.2">
      <c r="A12" s="34">
        <v>6</v>
      </c>
      <c r="B12" s="22"/>
      <c r="C12" s="60" t="s">
        <v>276</v>
      </c>
      <c r="D12" s="39">
        <f>100+60</f>
        <v>160</v>
      </c>
    </row>
    <row r="13" spans="1:4" ht="25.5" x14ac:dyDescent="0.2">
      <c r="A13" s="34">
        <v>7</v>
      </c>
      <c r="B13" s="22"/>
      <c r="C13" s="60" t="s">
        <v>123</v>
      </c>
      <c r="D13" s="39">
        <v>427</v>
      </c>
    </row>
    <row r="14" spans="1:4" x14ac:dyDescent="0.2">
      <c r="A14" s="34">
        <v>8</v>
      </c>
      <c r="B14" s="22"/>
      <c r="C14" s="47" t="s">
        <v>277</v>
      </c>
      <c r="D14" s="57">
        <v>177</v>
      </c>
    </row>
    <row r="15" spans="1:4" ht="25.5" x14ac:dyDescent="0.2">
      <c r="A15" s="34">
        <v>9</v>
      </c>
      <c r="B15" s="22"/>
      <c r="C15" s="40" t="s">
        <v>124</v>
      </c>
      <c r="D15" s="39">
        <v>50</v>
      </c>
    </row>
    <row r="16" spans="1:4" ht="25.5" x14ac:dyDescent="0.2">
      <c r="A16" s="34">
        <v>10</v>
      </c>
      <c r="B16" s="22"/>
      <c r="C16" s="47" t="s">
        <v>125</v>
      </c>
      <c r="D16" s="57">
        <v>20</v>
      </c>
    </row>
    <row r="17" spans="1:4" x14ac:dyDescent="0.2">
      <c r="A17" s="34">
        <v>11</v>
      </c>
      <c r="B17" s="22"/>
      <c r="C17" s="47" t="s">
        <v>278</v>
      </c>
      <c r="D17" s="57">
        <v>10</v>
      </c>
    </row>
    <row r="18" spans="1:4" x14ac:dyDescent="0.2">
      <c r="A18" s="34">
        <v>12</v>
      </c>
      <c r="B18" s="22"/>
      <c r="C18" s="45" t="s">
        <v>279</v>
      </c>
      <c r="D18" s="57">
        <v>161.5</v>
      </c>
    </row>
    <row r="19" spans="1:4" x14ac:dyDescent="0.2">
      <c r="A19" s="34">
        <v>13</v>
      </c>
      <c r="B19" s="22"/>
      <c r="C19" s="47" t="s">
        <v>126</v>
      </c>
      <c r="D19" s="57">
        <v>525</v>
      </c>
    </row>
    <row r="20" spans="1:4" ht="25.5" x14ac:dyDescent="0.2">
      <c r="A20" s="34">
        <v>14</v>
      </c>
      <c r="B20" s="22"/>
      <c r="C20" s="47" t="s">
        <v>127</v>
      </c>
      <c r="D20" s="57">
        <v>50</v>
      </c>
    </row>
    <row r="21" spans="1:4" x14ac:dyDescent="0.2">
      <c r="A21" s="34">
        <v>15</v>
      </c>
      <c r="B21" s="33" t="s">
        <v>50</v>
      </c>
      <c r="C21" s="42" t="s">
        <v>96</v>
      </c>
      <c r="D21" s="51">
        <f>SUM(D22:D26)</f>
        <v>896.8</v>
      </c>
    </row>
    <row r="22" spans="1:4" ht="25.5" x14ac:dyDescent="0.2">
      <c r="A22" s="34">
        <v>16</v>
      </c>
      <c r="B22" s="33"/>
      <c r="C22" s="59" t="s">
        <v>106</v>
      </c>
      <c r="D22" s="57">
        <v>500</v>
      </c>
    </row>
    <row r="23" spans="1:4" x14ac:dyDescent="0.2">
      <c r="A23" s="34">
        <v>17</v>
      </c>
      <c r="B23" s="33"/>
      <c r="C23" s="19" t="s">
        <v>128</v>
      </c>
      <c r="D23" s="61">
        <v>71.8</v>
      </c>
    </row>
    <row r="24" spans="1:4" x14ac:dyDescent="0.2">
      <c r="A24" s="34">
        <v>18</v>
      </c>
      <c r="B24" s="33"/>
      <c r="C24" s="19" t="s">
        <v>129</v>
      </c>
      <c r="D24" s="61">
        <v>200</v>
      </c>
    </row>
    <row r="25" spans="1:4" x14ac:dyDescent="0.2">
      <c r="A25" s="34">
        <v>19</v>
      </c>
      <c r="B25" s="33"/>
      <c r="C25" s="45" t="s">
        <v>285</v>
      </c>
      <c r="D25" s="61">
        <v>25</v>
      </c>
    </row>
    <row r="26" spans="1:4" x14ac:dyDescent="0.2">
      <c r="A26" s="34">
        <v>20</v>
      </c>
      <c r="B26" s="33"/>
      <c r="C26" s="19" t="s">
        <v>130</v>
      </c>
      <c r="D26" s="61">
        <v>100</v>
      </c>
    </row>
    <row r="27" spans="1:4" x14ac:dyDescent="0.2">
      <c r="A27" s="34">
        <v>21</v>
      </c>
      <c r="B27" s="33" t="s">
        <v>51</v>
      </c>
      <c r="C27" s="42" t="s">
        <v>111</v>
      </c>
      <c r="D27" s="51">
        <f>SUM(D28:D42)</f>
        <v>2590</v>
      </c>
    </row>
    <row r="28" spans="1:4" ht="25.5" x14ac:dyDescent="0.2">
      <c r="A28" s="34">
        <v>22</v>
      </c>
      <c r="B28" s="22"/>
      <c r="C28" s="16" t="s">
        <v>131</v>
      </c>
      <c r="D28" s="61">
        <v>50</v>
      </c>
    </row>
    <row r="29" spans="1:4" x14ac:dyDescent="0.2">
      <c r="A29" s="34">
        <v>23</v>
      </c>
      <c r="B29" s="22"/>
      <c r="C29" s="45" t="s">
        <v>132</v>
      </c>
      <c r="D29" s="57">
        <v>110</v>
      </c>
    </row>
    <row r="30" spans="1:4" ht="25.5" x14ac:dyDescent="0.2">
      <c r="A30" s="34">
        <v>24</v>
      </c>
      <c r="B30" s="22"/>
      <c r="C30" s="38" t="s">
        <v>286</v>
      </c>
      <c r="D30" s="57">
        <v>70</v>
      </c>
    </row>
    <row r="31" spans="1:4" x14ac:dyDescent="0.2">
      <c r="A31" s="34">
        <v>25</v>
      </c>
      <c r="B31" s="22"/>
      <c r="C31" s="38" t="s">
        <v>287</v>
      </c>
      <c r="D31" s="57">
        <v>400</v>
      </c>
    </row>
    <row r="32" spans="1:4" x14ac:dyDescent="0.2">
      <c r="A32" s="34">
        <v>26</v>
      </c>
      <c r="B32" s="22"/>
      <c r="C32" s="47" t="s">
        <v>288</v>
      </c>
      <c r="D32" s="57">
        <v>20</v>
      </c>
    </row>
    <row r="33" spans="1:4" ht="25.5" x14ac:dyDescent="0.2">
      <c r="A33" s="34">
        <v>27</v>
      </c>
      <c r="B33" s="22"/>
      <c r="C33" s="16" t="s">
        <v>289</v>
      </c>
      <c r="D33" s="57">
        <v>30</v>
      </c>
    </row>
    <row r="34" spans="1:4" x14ac:dyDescent="0.2">
      <c r="A34" s="34">
        <v>28</v>
      </c>
      <c r="B34" s="22"/>
      <c r="C34" s="16" t="s">
        <v>290</v>
      </c>
      <c r="D34" s="57">
        <v>95</v>
      </c>
    </row>
    <row r="35" spans="1:4" x14ac:dyDescent="0.2">
      <c r="A35" s="34">
        <v>29</v>
      </c>
      <c r="B35" s="22"/>
      <c r="C35" s="16" t="s">
        <v>291</v>
      </c>
      <c r="D35" s="57">
        <v>30</v>
      </c>
    </row>
    <row r="36" spans="1:4" x14ac:dyDescent="0.2">
      <c r="A36" s="34">
        <v>30</v>
      </c>
      <c r="B36" s="22"/>
      <c r="C36" s="47" t="s">
        <v>133</v>
      </c>
      <c r="D36" s="57">
        <v>100</v>
      </c>
    </row>
    <row r="37" spans="1:4" x14ac:dyDescent="0.2">
      <c r="A37" s="34">
        <v>31</v>
      </c>
      <c r="B37" s="22"/>
      <c r="C37" s="16" t="s">
        <v>292</v>
      </c>
      <c r="D37" s="57">
        <v>230</v>
      </c>
    </row>
    <row r="38" spans="1:4" x14ac:dyDescent="0.2">
      <c r="A38" s="34">
        <v>32</v>
      </c>
      <c r="B38" s="22"/>
      <c r="C38" s="16" t="s">
        <v>135</v>
      </c>
      <c r="D38" s="57">
        <v>120</v>
      </c>
    </row>
    <row r="39" spans="1:4" x14ac:dyDescent="0.2">
      <c r="A39" s="34">
        <v>33</v>
      </c>
      <c r="B39" s="22"/>
      <c r="C39" s="16" t="s">
        <v>136</v>
      </c>
      <c r="D39" s="57">
        <v>200</v>
      </c>
    </row>
    <row r="40" spans="1:4" x14ac:dyDescent="0.2">
      <c r="A40" s="34">
        <v>34</v>
      </c>
      <c r="B40" s="22"/>
      <c r="C40" s="47" t="s">
        <v>137</v>
      </c>
      <c r="D40" s="57">
        <v>55</v>
      </c>
    </row>
    <row r="41" spans="1:4" x14ac:dyDescent="0.2">
      <c r="A41" s="34">
        <v>35</v>
      </c>
      <c r="B41" s="22"/>
      <c r="C41" s="16" t="s">
        <v>293</v>
      </c>
      <c r="D41" s="57">
        <v>80</v>
      </c>
    </row>
    <row r="42" spans="1:4" x14ac:dyDescent="0.2">
      <c r="A42" s="34">
        <v>36</v>
      </c>
      <c r="B42" s="22"/>
      <c r="C42" s="16" t="s">
        <v>294</v>
      </c>
      <c r="D42" s="57">
        <v>1000</v>
      </c>
    </row>
    <row r="43" spans="1:4" x14ac:dyDescent="0.2">
      <c r="A43" s="34">
        <v>37</v>
      </c>
      <c r="B43" s="33" t="s">
        <v>52</v>
      </c>
      <c r="C43" s="49" t="s">
        <v>98</v>
      </c>
      <c r="D43" s="51">
        <f>SUM(D44:D50)</f>
        <v>918.7</v>
      </c>
    </row>
    <row r="44" spans="1:4" x14ac:dyDescent="0.2">
      <c r="A44" s="34">
        <v>38</v>
      </c>
      <c r="B44" s="22"/>
      <c r="C44" s="47" t="s">
        <v>139</v>
      </c>
      <c r="D44" s="57">
        <v>40</v>
      </c>
    </row>
    <row r="45" spans="1:4" x14ac:dyDescent="0.2">
      <c r="A45" s="34">
        <v>39</v>
      </c>
      <c r="B45" s="22"/>
      <c r="C45" s="47" t="s">
        <v>140</v>
      </c>
      <c r="D45" s="57">
        <v>50</v>
      </c>
    </row>
    <row r="46" spans="1:4" x14ac:dyDescent="0.2">
      <c r="A46" s="34">
        <v>40</v>
      </c>
      <c r="B46" s="22"/>
      <c r="C46" s="47" t="s">
        <v>295</v>
      </c>
      <c r="D46" s="57">
        <v>26</v>
      </c>
    </row>
    <row r="47" spans="1:4" x14ac:dyDescent="0.2">
      <c r="A47" s="34">
        <v>41</v>
      </c>
      <c r="B47" s="22"/>
      <c r="C47" s="16" t="s">
        <v>296</v>
      </c>
      <c r="D47" s="57">
        <v>500</v>
      </c>
    </row>
    <row r="48" spans="1:4" ht="38.25" x14ac:dyDescent="0.2">
      <c r="A48" s="34">
        <v>42</v>
      </c>
      <c r="B48" s="22"/>
      <c r="C48" s="16" t="s">
        <v>141</v>
      </c>
      <c r="D48" s="57">
        <f>140+20</f>
        <v>160</v>
      </c>
    </row>
    <row r="49" spans="1:6" x14ac:dyDescent="0.2">
      <c r="A49" s="34">
        <v>43</v>
      </c>
      <c r="B49" s="22"/>
      <c r="C49" s="16" t="s">
        <v>142</v>
      </c>
      <c r="D49" s="57">
        <v>110</v>
      </c>
    </row>
    <row r="50" spans="1:6" ht="12.75" customHeight="1" x14ac:dyDescent="0.2">
      <c r="A50" s="34">
        <v>44</v>
      </c>
      <c r="B50" s="22"/>
      <c r="C50" s="16" t="s">
        <v>143</v>
      </c>
      <c r="D50" s="57">
        <v>32.700000000000003</v>
      </c>
    </row>
    <row r="51" spans="1:6" ht="14.25" x14ac:dyDescent="0.2">
      <c r="A51" s="34">
        <v>45</v>
      </c>
      <c r="B51" s="22"/>
      <c r="C51" s="62" t="s">
        <v>59</v>
      </c>
      <c r="D51" s="63">
        <f>+D7+D21+D27+D43</f>
        <v>6426</v>
      </c>
      <c r="F51" s="64"/>
    </row>
    <row r="52" spans="1:6" x14ac:dyDescent="0.2">
      <c r="C52" s="20"/>
    </row>
    <row r="53" spans="1:6" x14ac:dyDescent="0.2">
      <c r="A53" s="1" t="s">
        <v>145</v>
      </c>
      <c r="B53" s="1"/>
      <c r="C53" s="1"/>
      <c r="D53" s="1"/>
    </row>
    <row r="54" spans="1:6" x14ac:dyDescent="0.2">
      <c r="C54" s="65"/>
      <c r="D54" s="53"/>
    </row>
    <row r="63" spans="1:6" x14ac:dyDescent="0.2">
      <c r="D63" s="66"/>
    </row>
  </sheetData>
  <mergeCells count="2">
    <mergeCell ref="C1:D1"/>
    <mergeCell ref="A3:D3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F3C5B-9862-4FB3-99C9-FFA8DE6871E8}">
  <dimension ref="A1:J66"/>
  <sheetViews>
    <sheetView zoomScaleNormal="100" workbookViewId="0">
      <selection activeCell="C5" sqref="C5"/>
    </sheetView>
  </sheetViews>
  <sheetFormatPr defaultColWidth="9.140625" defaultRowHeight="12.75" x14ac:dyDescent="0.2"/>
  <cols>
    <col min="1" max="1" width="4.85546875" style="28" customWidth="1"/>
    <col min="2" max="2" width="7.140625" style="52" customWidth="1"/>
    <col min="3" max="3" width="55.28515625" style="28" customWidth="1"/>
    <col min="4" max="5" width="6.85546875" style="28" bestFit="1" customWidth="1"/>
    <col min="6" max="6" width="6.85546875" style="28" customWidth="1"/>
    <col min="7" max="7" width="5.42578125" style="1" bestFit="1" customWidth="1"/>
    <col min="8" max="16384" width="9.140625" style="1"/>
  </cols>
  <sheetData>
    <row r="1" spans="1:10" x14ac:dyDescent="0.2">
      <c r="B1" s="29"/>
      <c r="D1" s="192" t="s">
        <v>257</v>
      </c>
      <c r="E1" s="192"/>
      <c r="F1" s="192"/>
      <c r="G1" s="192"/>
    </row>
    <row r="2" spans="1:10" x14ac:dyDescent="0.2">
      <c r="B2" s="29"/>
      <c r="D2" s="20"/>
      <c r="E2" s="20"/>
      <c r="F2" s="20"/>
      <c r="G2" s="20"/>
    </row>
    <row r="3" spans="1:10" ht="45" customHeight="1" x14ac:dyDescent="0.2">
      <c r="A3" s="193" t="s">
        <v>260</v>
      </c>
      <c r="B3" s="193"/>
      <c r="C3" s="193"/>
      <c r="D3" s="193"/>
      <c r="E3" s="193"/>
      <c r="F3" s="193"/>
      <c r="G3" s="193"/>
    </row>
    <row r="4" spans="1:10" x14ac:dyDescent="0.2">
      <c r="B4" s="29"/>
      <c r="F4" s="194" t="s">
        <v>58</v>
      </c>
      <c r="G4" s="194"/>
    </row>
    <row r="5" spans="1:10" ht="46.5" customHeight="1" x14ac:dyDescent="0.2">
      <c r="A5" s="30" t="s">
        <v>91</v>
      </c>
      <c r="B5" s="31" t="s">
        <v>92</v>
      </c>
      <c r="C5" s="30" t="s">
        <v>93</v>
      </c>
      <c r="D5" s="30" t="s">
        <v>116</v>
      </c>
      <c r="E5" s="30" t="s">
        <v>261</v>
      </c>
      <c r="F5" s="30" t="s">
        <v>117</v>
      </c>
      <c r="G5" s="30" t="s">
        <v>118</v>
      </c>
    </row>
    <row r="6" spans="1:10" x14ac:dyDescent="0.2">
      <c r="A6" s="32">
        <v>1</v>
      </c>
      <c r="B6" s="33" t="s">
        <v>94</v>
      </c>
      <c r="C6" s="30">
        <v>3</v>
      </c>
      <c r="D6" s="30">
        <v>4</v>
      </c>
      <c r="E6" s="30">
        <v>5</v>
      </c>
      <c r="F6" s="30">
        <v>6</v>
      </c>
      <c r="G6" s="24">
        <v>7</v>
      </c>
    </row>
    <row r="7" spans="1:10" x14ac:dyDescent="0.2">
      <c r="A7" s="34">
        <v>1</v>
      </c>
      <c r="B7" s="33" t="s">
        <v>49</v>
      </c>
      <c r="C7" s="35" t="s">
        <v>95</v>
      </c>
      <c r="D7" s="36">
        <f>+F7+G7+E7</f>
        <v>2864.4</v>
      </c>
      <c r="E7" s="37">
        <f>+E8</f>
        <v>732</v>
      </c>
      <c r="F7" s="37">
        <f>+F8</f>
        <v>1833</v>
      </c>
      <c r="G7" s="37">
        <f>+G8</f>
        <v>299.39999999999998</v>
      </c>
      <c r="H7" s="2"/>
      <c r="I7" s="2"/>
      <c r="J7" s="2"/>
    </row>
    <row r="8" spans="1:10" x14ac:dyDescent="0.2">
      <c r="A8" s="34">
        <v>2</v>
      </c>
      <c r="B8" s="22"/>
      <c r="C8" s="38" t="s">
        <v>99</v>
      </c>
      <c r="D8" s="39">
        <f>SUM(D9:D17)</f>
        <v>2864.4</v>
      </c>
      <c r="E8" s="39">
        <f t="shared" ref="E8:G8" si="0">SUM(E9:E17)</f>
        <v>732</v>
      </c>
      <c r="F8" s="39">
        <f t="shared" si="0"/>
        <v>1833</v>
      </c>
      <c r="G8" s="39">
        <f t="shared" si="0"/>
        <v>299.39999999999998</v>
      </c>
      <c r="H8" s="2"/>
      <c r="I8" s="2"/>
      <c r="J8" s="2"/>
    </row>
    <row r="9" spans="1:10" x14ac:dyDescent="0.2">
      <c r="A9" s="34">
        <v>3</v>
      </c>
      <c r="B9" s="22"/>
      <c r="C9" s="40" t="s">
        <v>100</v>
      </c>
      <c r="D9" s="41">
        <f>+F9+G9+E9</f>
        <v>336.4</v>
      </c>
      <c r="E9" s="41">
        <v>50</v>
      </c>
      <c r="F9" s="39">
        <v>5</v>
      </c>
      <c r="G9" s="39">
        <v>281.39999999999998</v>
      </c>
      <c r="H9" s="2"/>
      <c r="I9" s="2"/>
      <c r="J9" s="2"/>
    </row>
    <row r="10" spans="1:10" ht="38.25" x14ac:dyDescent="0.2">
      <c r="A10" s="34">
        <v>4</v>
      </c>
      <c r="B10" s="22"/>
      <c r="C10" s="40" t="s">
        <v>101</v>
      </c>
      <c r="D10" s="41">
        <f t="shared" ref="D10:D17" si="1">+F10+G10+E10</f>
        <v>80</v>
      </c>
      <c r="E10" s="41"/>
      <c r="F10" s="39">
        <v>80</v>
      </c>
      <c r="G10" s="39"/>
      <c r="H10" s="2"/>
      <c r="I10" s="2"/>
      <c r="J10" s="2"/>
    </row>
    <row r="11" spans="1:10" ht="25.5" x14ac:dyDescent="0.2">
      <c r="A11" s="34">
        <v>5</v>
      </c>
      <c r="B11" s="22"/>
      <c r="C11" s="40" t="s">
        <v>102</v>
      </c>
      <c r="D11" s="41">
        <f t="shared" si="1"/>
        <v>300</v>
      </c>
      <c r="E11" s="41">
        <v>45</v>
      </c>
      <c r="F11" s="39">
        <v>255</v>
      </c>
      <c r="G11" s="39"/>
      <c r="H11" s="2"/>
      <c r="I11" s="2"/>
      <c r="J11" s="2"/>
    </row>
    <row r="12" spans="1:10" ht="31.5" customHeight="1" x14ac:dyDescent="0.2">
      <c r="A12" s="34">
        <v>6</v>
      </c>
      <c r="B12" s="22"/>
      <c r="C12" s="40" t="s">
        <v>103</v>
      </c>
      <c r="D12" s="41">
        <f t="shared" si="1"/>
        <v>1300</v>
      </c>
      <c r="E12" s="41">
        <v>195</v>
      </c>
      <c r="F12" s="39">
        <v>1105</v>
      </c>
      <c r="G12" s="39"/>
      <c r="H12" s="2"/>
      <c r="I12" s="2"/>
      <c r="J12" s="2"/>
    </row>
    <row r="13" spans="1:10" ht="27" customHeight="1" x14ac:dyDescent="0.2">
      <c r="A13" s="34">
        <v>7</v>
      </c>
      <c r="B13" s="22"/>
      <c r="C13" s="40" t="s">
        <v>104</v>
      </c>
      <c r="D13" s="41">
        <f t="shared" si="1"/>
        <v>163</v>
      </c>
      <c r="E13" s="41">
        <v>25</v>
      </c>
      <c r="F13" s="39">
        <v>138</v>
      </c>
      <c r="G13" s="39"/>
      <c r="H13" s="2"/>
      <c r="I13" s="2"/>
      <c r="J13" s="2"/>
    </row>
    <row r="14" spans="1:10" ht="25.5" x14ac:dyDescent="0.2">
      <c r="A14" s="34">
        <v>8</v>
      </c>
      <c r="B14" s="22"/>
      <c r="C14" s="40" t="s">
        <v>119</v>
      </c>
      <c r="D14" s="41">
        <f t="shared" si="1"/>
        <v>268</v>
      </c>
      <c r="E14" s="41"/>
      <c r="F14" s="39">
        <v>250</v>
      </c>
      <c r="G14" s="39">
        <v>18</v>
      </c>
      <c r="H14" s="2"/>
      <c r="I14" s="2"/>
      <c r="J14" s="2"/>
    </row>
    <row r="15" spans="1:10" ht="25.5" x14ac:dyDescent="0.2">
      <c r="A15" s="34">
        <v>9</v>
      </c>
      <c r="B15" s="22"/>
      <c r="C15" s="40" t="s">
        <v>225</v>
      </c>
      <c r="D15" s="41">
        <f t="shared" si="1"/>
        <v>135</v>
      </c>
      <c r="E15" s="41">
        <v>135</v>
      </c>
      <c r="F15" s="39"/>
      <c r="G15" s="39"/>
      <c r="H15" s="2"/>
      <c r="I15" s="2"/>
      <c r="J15" s="2"/>
    </row>
    <row r="16" spans="1:10" ht="38.25" x14ac:dyDescent="0.2">
      <c r="A16" s="34">
        <v>10</v>
      </c>
      <c r="B16" s="22"/>
      <c r="C16" s="40" t="s">
        <v>121</v>
      </c>
      <c r="D16" s="41">
        <f t="shared" si="1"/>
        <v>30</v>
      </c>
      <c r="E16" s="41">
        <v>30</v>
      </c>
      <c r="F16" s="39"/>
      <c r="G16" s="39"/>
      <c r="H16" s="2"/>
      <c r="I16" s="2"/>
      <c r="J16" s="2"/>
    </row>
    <row r="17" spans="1:10" ht="25.5" x14ac:dyDescent="0.2">
      <c r="A17" s="34">
        <v>11</v>
      </c>
      <c r="B17" s="22"/>
      <c r="C17" s="40" t="s">
        <v>268</v>
      </c>
      <c r="D17" s="41">
        <f t="shared" si="1"/>
        <v>252</v>
      </c>
      <c r="E17" s="41">
        <v>252</v>
      </c>
      <c r="F17" s="39"/>
      <c r="G17" s="39"/>
      <c r="H17" s="2"/>
      <c r="I17" s="2"/>
      <c r="J17" s="2"/>
    </row>
    <row r="18" spans="1:10" x14ac:dyDescent="0.2">
      <c r="A18" s="34">
        <v>12</v>
      </c>
      <c r="B18" s="33" t="s">
        <v>50</v>
      </c>
      <c r="C18" s="42" t="s">
        <v>96</v>
      </c>
      <c r="D18" s="43">
        <f>+D19</f>
        <v>3186.3</v>
      </c>
      <c r="E18" s="43">
        <f>+E19</f>
        <v>322.3</v>
      </c>
      <c r="F18" s="43">
        <f>+F19</f>
        <v>2706</v>
      </c>
      <c r="G18" s="43">
        <f>+G19</f>
        <v>158</v>
      </c>
      <c r="H18" s="2"/>
      <c r="I18" s="2"/>
      <c r="J18" s="2"/>
    </row>
    <row r="19" spans="1:10" x14ac:dyDescent="0.2">
      <c r="A19" s="34">
        <v>13</v>
      </c>
      <c r="B19" s="22"/>
      <c r="C19" s="38" t="s">
        <v>99</v>
      </c>
      <c r="D19" s="39">
        <f>SUM(D20:D32)</f>
        <v>3186.3</v>
      </c>
      <c r="E19" s="39">
        <f t="shared" ref="E19:G19" si="2">SUM(E20:E32)</f>
        <v>322.3</v>
      </c>
      <c r="F19" s="39">
        <f t="shared" si="2"/>
        <v>2706</v>
      </c>
      <c r="G19" s="39">
        <f t="shared" si="2"/>
        <v>158</v>
      </c>
      <c r="H19" s="2"/>
      <c r="I19" s="2"/>
      <c r="J19" s="2"/>
    </row>
    <row r="20" spans="1:10" ht="25.5" x14ac:dyDescent="0.2">
      <c r="A20" s="34">
        <v>14</v>
      </c>
      <c r="B20" s="22"/>
      <c r="C20" s="38" t="s">
        <v>105</v>
      </c>
      <c r="D20" s="44">
        <f>+F20+G20+E20</f>
        <v>185.3</v>
      </c>
      <c r="E20" s="44">
        <v>35.299999999999997</v>
      </c>
      <c r="F20" s="39">
        <v>150</v>
      </c>
      <c r="G20" s="17"/>
      <c r="H20" s="2"/>
      <c r="I20" s="2"/>
      <c r="J20" s="2"/>
    </row>
    <row r="21" spans="1:10" ht="25.5" x14ac:dyDescent="0.2">
      <c r="A21" s="34">
        <v>15</v>
      </c>
      <c r="B21" s="22"/>
      <c r="C21" s="45" t="s">
        <v>106</v>
      </c>
      <c r="D21" s="44">
        <f t="shared" ref="D21:D32" si="3">+F21+G21+E21</f>
        <v>770</v>
      </c>
      <c r="E21" s="44"/>
      <c r="F21" s="39">
        <v>654</v>
      </c>
      <c r="G21" s="46">
        <v>116</v>
      </c>
      <c r="H21" s="2"/>
      <c r="I21" s="2"/>
      <c r="J21" s="2"/>
    </row>
    <row r="22" spans="1:10" ht="25.5" x14ac:dyDescent="0.2">
      <c r="A22" s="34">
        <v>16</v>
      </c>
      <c r="B22" s="22"/>
      <c r="C22" s="45" t="s">
        <v>269</v>
      </c>
      <c r="D22" s="44">
        <f t="shared" si="3"/>
        <v>500</v>
      </c>
      <c r="E22" s="44">
        <v>75</v>
      </c>
      <c r="F22" s="39">
        <v>425</v>
      </c>
      <c r="G22" s="17"/>
      <c r="H22" s="2"/>
      <c r="I22" s="2"/>
      <c r="J22" s="2"/>
    </row>
    <row r="23" spans="1:10" ht="25.5" x14ac:dyDescent="0.2">
      <c r="A23" s="34">
        <v>17</v>
      </c>
      <c r="B23" s="22"/>
      <c r="C23" s="45" t="s">
        <v>107</v>
      </c>
      <c r="D23" s="44">
        <f t="shared" si="3"/>
        <v>177</v>
      </c>
      <c r="E23" s="44"/>
      <c r="F23" s="39">
        <v>150</v>
      </c>
      <c r="G23" s="46">
        <v>27</v>
      </c>
      <c r="H23" s="2"/>
      <c r="I23" s="2"/>
      <c r="J23" s="2"/>
    </row>
    <row r="24" spans="1:10" ht="25.5" x14ac:dyDescent="0.2">
      <c r="A24" s="34">
        <v>18</v>
      </c>
      <c r="B24" s="22"/>
      <c r="C24" s="45" t="s">
        <v>108</v>
      </c>
      <c r="D24" s="44">
        <f t="shared" si="3"/>
        <v>117</v>
      </c>
      <c r="E24" s="44">
        <v>2</v>
      </c>
      <c r="F24" s="39">
        <v>100</v>
      </c>
      <c r="G24" s="46">
        <v>15</v>
      </c>
      <c r="H24" s="2"/>
      <c r="I24" s="2"/>
      <c r="J24" s="2"/>
    </row>
    <row r="25" spans="1:10" ht="25.5" x14ac:dyDescent="0.2">
      <c r="A25" s="34">
        <v>19</v>
      </c>
      <c r="B25" s="22"/>
      <c r="C25" s="45" t="s">
        <v>263</v>
      </c>
      <c r="D25" s="44">
        <f t="shared" si="3"/>
        <v>32</v>
      </c>
      <c r="E25" s="44"/>
      <c r="F25" s="39">
        <v>32</v>
      </c>
      <c r="G25" s="46"/>
      <c r="H25" s="2"/>
      <c r="I25" s="2"/>
      <c r="J25" s="2"/>
    </row>
    <row r="26" spans="1:10" ht="27.75" customHeight="1" x14ac:dyDescent="0.2">
      <c r="A26" s="34">
        <v>20</v>
      </c>
      <c r="B26" s="33"/>
      <c r="C26" s="45" t="s">
        <v>109</v>
      </c>
      <c r="D26" s="44">
        <f t="shared" si="3"/>
        <v>50</v>
      </c>
      <c r="E26" s="44">
        <v>7.5</v>
      </c>
      <c r="F26" s="39">
        <v>42.5</v>
      </c>
      <c r="G26" s="17"/>
      <c r="H26" s="2"/>
      <c r="I26" s="2"/>
      <c r="J26" s="2"/>
    </row>
    <row r="27" spans="1:10" ht="25.5" x14ac:dyDescent="0.2">
      <c r="A27" s="34">
        <v>21</v>
      </c>
      <c r="B27" s="33"/>
      <c r="C27" s="45" t="s">
        <v>110</v>
      </c>
      <c r="D27" s="44">
        <f t="shared" si="3"/>
        <v>30</v>
      </c>
      <c r="E27" s="44"/>
      <c r="F27" s="39">
        <v>30</v>
      </c>
      <c r="G27" s="17"/>
      <c r="H27" s="2"/>
      <c r="I27" s="2"/>
      <c r="J27" s="2"/>
    </row>
    <row r="28" spans="1:10" ht="25.5" x14ac:dyDescent="0.2">
      <c r="A28" s="34">
        <v>22</v>
      </c>
      <c r="B28" s="33"/>
      <c r="C28" s="47" t="s">
        <v>264</v>
      </c>
      <c r="D28" s="44">
        <f t="shared" si="3"/>
        <v>440</v>
      </c>
      <c r="E28" s="44">
        <v>65</v>
      </c>
      <c r="F28" s="48">
        <v>375</v>
      </c>
      <c r="G28" s="17"/>
      <c r="H28" s="2"/>
      <c r="I28" s="2"/>
      <c r="J28" s="2"/>
    </row>
    <row r="29" spans="1:10" ht="38.25" x14ac:dyDescent="0.2">
      <c r="A29" s="34">
        <v>23</v>
      </c>
      <c r="B29" s="33"/>
      <c r="C29" s="47" t="s">
        <v>265</v>
      </c>
      <c r="D29" s="44">
        <f t="shared" si="3"/>
        <v>200</v>
      </c>
      <c r="E29" s="44">
        <v>30</v>
      </c>
      <c r="F29" s="48">
        <v>170</v>
      </c>
      <c r="G29" s="17"/>
      <c r="H29" s="2"/>
      <c r="I29" s="2"/>
      <c r="J29" s="2"/>
    </row>
    <row r="30" spans="1:10" ht="38.25" x14ac:dyDescent="0.2">
      <c r="A30" s="34">
        <v>24</v>
      </c>
      <c r="B30" s="33"/>
      <c r="C30" s="47" t="s">
        <v>266</v>
      </c>
      <c r="D30" s="44">
        <f t="shared" si="3"/>
        <v>217</v>
      </c>
      <c r="E30" s="44">
        <v>35</v>
      </c>
      <c r="F30" s="48">
        <v>182</v>
      </c>
      <c r="G30" s="17"/>
      <c r="H30" s="2"/>
      <c r="I30" s="2"/>
      <c r="J30" s="2"/>
    </row>
    <row r="31" spans="1:10" ht="25.5" x14ac:dyDescent="0.2">
      <c r="A31" s="34">
        <v>25</v>
      </c>
      <c r="B31" s="33"/>
      <c r="C31" s="47" t="s">
        <v>267</v>
      </c>
      <c r="D31" s="44">
        <f t="shared" si="3"/>
        <v>238</v>
      </c>
      <c r="E31" s="44">
        <v>38</v>
      </c>
      <c r="F31" s="48">
        <v>200</v>
      </c>
      <c r="G31" s="17"/>
      <c r="H31" s="2"/>
      <c r="I31" s="2"/>
      <c r="J31" s="2"/>
    </row>
    <row r="32" spans="1:10" ht="38.25" x14ac:dyDescent="0.2">
      <c r="A32" s="34">
        <v>26</v>
      </c>
      <c r="B32" s="33"/>
      <c r="C32" s="47" t="s">
        <v>270</v>
      </c>
      <c r="D32" s="44">
        <f t="shared" si="3"/>
        <v>230</v>
      </c>
      <c r="E32" s="44">
        <v>34.5</v>
      </c>
      <c r="F32" s="48">
        <v>195.5</v>
      </c>
      <c r="G32" s="17"/>
      <c r="H32" s="2"/>
      <c r="I32" s="2"/>
      <c r="J32" s="2"/>
    </row>
    <row r="33" spans="1:10" x14ac:dyDescent="0.2">
      <c r="A33" s="34">
        <v>27</v>
      </c>
      <c r="B33" s="33" t="s">
        <v>51</v>
      </c>
      <c r="C33" s="42" t="s">
        <v>111</v>
      </c>
      <c r="D33" s="43">
        <f>+D34</f>
        <v>2020</v>
      </c>
      <c r="E33" s="43">
        <f>+E34</f>
        <v>260</v>
      </c>
      <c r="F33" s="43">
        <f>+F34</f>
        <v>1760</v>
      </c>
      <c r="G33" s="43">
        <f>+G34</f>
        <v>0</v>
      </c>
      <c r="H33" s="2"/>
      <c r="I33" s="2"/>
      <c r="J33" s="2"/>
    </row>
    <row r="34" spans="1:10" x14ac:dyDescent="0.2">
      <c r="A34" s="34">
        <v>28</v>
      </c>
      <c r="B34" s="33"/>
      <c r="C34" s="38" t="s">
        <v>99</v>
      </c>
      <c r="D34" s="48">
        <f>SUM(D35:D38)</f>
        <v>2020</v>
      </c>
      <c r="E34" s="48">
        <f t="shared" ref="E34:G34" si="4">SUM(E35:E38)</f>
        <v>260</v>
      </c>
      <c r="F34" s="48">
        <f t="shared" si="4"/>
        <v>1760</v>
      </c>
      <c r="G34" s="48">
        <f t="shared" si="4"/>
        <v>0</v>
      </c>
      <c r="H34" s="2"/>
      <c r="I34" s="2"/>
      <c r="J34" s="2"/>
    </row>
    <row r="35" spans="1:10" ht="25.5" x14ac:dyDescent="0.2">
      <c r="A35" s="34">
        <v>29</v>
      </c>
      <c r="B35" s="33"/>
      <c r="C35" s="47" t="s">
        <v>112</v>
      </c>
      <c r="D35" s="47">
        <f>+F35+G35+E35</f>
        <v>400</v>
      </c>
      <c r="E35" s="47">
        <v>60</v>
      </c>
      <c r="F35" s="39">
        <v>340</v>
      </c>
      <c r="G35" s="17"/>
      <c r="H35" s="2"/>
      <c r="I35" s="2"/>
      <c r="J35" s="2"/>
    </row>
    <row r="36" spans="1:10" ht="25.5" x14ac:dyDescent="0.2">
      <c r="A36" s="34">
        <v>30</v>
      </c>
      <c r="B36" s="33"/>
      <c r="C36" s="47" t="s">
        <v>134</v>
      </c>
      <c r="D36" s="47">
        <f t="shared" ref="D36:D38" si="5">+F36+G36+E36</f>
        <v>1450</v>
      </c>
      <c r="E36" s="47">
        <v>90</v>
      </c>
      <c r="F36" s="48">
        <v>1360</v>
      </c>
      <c r="G36" s="17"/>
      <c r="H36" s="2"/>
      <c r="I36" s="2"/>
      <c r="J36" s="2"/>
    </row>
    <row r="37" spans="1:10" ht="26.25" customHeight="1" x14ac:dyDescent="0.2">
      <c r="A37" s="34">
        <v>31</v>
      </c>
      <c r="B37" s="33"/>
      <c r="C37" s="47" t="s">
        <v>113</v>
      </c>
      <c r="D37" s="47">
        <f t="shared" si="5"/>
        <v>70</v>
      </c>
      <c r="E37" s="47">
        <v>10</v>
      </c>
      <c r="F37" s="48">
        <v>60</v>
      </c>
      <c r="G37" s="17"/>
      <c r="H37" s="2"/>
      <c r="I37" s="2"/>
      <c r="J37" s="2"/>
    </row>
    <row r="38" spans="1:10" ht="25.5" x14ac:dyDescent="0.2">
      <c r="A38" s="34">
        <v>32</v>
      </c>
      <c r="B38" s="33"/>
      <c r="C38" s="47" t="s">
        <v>138</v>
      </c>
      <c r="D38" s="47">
        <f t="shared" si="5"/>
        <v>100</v>
      </c>
      <c r="E38" s="47">
        <v>100</v>
      </c>
      <c r="F38" s="48"/>
      <c r="G38" s="17"/>
      <c r="H38" s="2"/>
      <c r="I38" s="2"/>
      <c r="J38" s="2"/>
    </row>
    <row r="39" spans="1:10" x14ac:dyDescent="0.2">
      <c r="A39" s="34">
        <v>33</v>
      </c>
      <c r="B39" s="33" t="s">
        <v>52</v>
      </c>
      <c r="C39" s="49" t="s">
        <v>98</v>
      </c>
      <c r="D39" s="49">
        <f>+D40</f>
        <v>169</v>
      </c>
      <c r="E39" s="43">
        <f>+E40</f>
        <v>109</v>
      </c>
      <c r="F39" s="43">
        <f>+F40</f>
        <v>60</v>
      </c>
      <c r="G39" s="43">
        <f>+G40</f>
        <v>0</v>
      </c>
      <c r="H39" s="2"/>
      <c r="I39" s="2"/>
      <c r="J39" s="2"/>
    </row>
    <row r="40" spans="1:10" x14ac:dyDescent="0.2">
      <c r="A40" s="34">
        <v>34</v>
      </c>
      <c r="B40" s="33"/>
      <c r="C40" s="38" t="s">
        <v>99</v>
      </c>
      <c r="D40" s="48">
        <f>SUM(D41:D45)</f>
        <v>169</v>
      </c>
      <c r="E40" s="48">
        <f>SUM(E41:E45)</f>
        <v>109</v>
      </c>
      <c r="F40" s="48">
        <f t="shared" ref="F40:G40" si="6">SUM(F41:F45)</f>
        <v>60</v>
      </c>
      <c r="G40" s="48">
        <f t="shared" si="6"/>
        <v>0</v>
      </c>
      <c r="H40" s="2"/>
      <c r="I40" s="2"/>
      <c r="J40" s="2"/>
    </row>
    <row r="41" spans="1:10" ht="38.25" x14ac:dyDescent="0.2">
      <c r="A41" s="34">
        <v>35</v>
      </c>
      <c r="B41" s="33"/>
      <c r="C41" s="47" t="s">
        <v>114</v>
      </c>
      <c r="D41" s="47">
        <f>+F41+G41+E41</f>
        <v>70</v>
      </c>
      <c r="E41" s="47">
        <v>10</v>
      </c>
      <c r="F41" s="48">
        <v>60</v>
      </c>
      <c r="G41" s="17"/>
      <c r="H41" s="2"/>
      <c r="I41" s="2"/>
      <c r="J41" s="2"/>
    </row>
    <row r="42" spans="1:10" ht="38.25" x14ac:dyDescent="0.2">
      <c r="A42" s="34">
        <v>36</v>
      </c>
      <c r="B42" s="33"/>
      <c r="C42" s="47" t="s">
        <v>246</v>
      </c>
      <c r="D42" s="47">
        <f t="shared" ref="D42:D45" si="7">+F42+G42+E42</f>
        <v>4</v>
      </c>
      <c r="E42" s="47">
        <v>4</v>
      </c>
      <c r="F42" s="48"/>
      <c r="G42" s="46"/>
      <c r="H42" s="2"/>
      <c r="I42" s="2"/>
      <c r="J42" s="2"/>
    </row>
    <row r="43" spans="1:10" ht="38.25" x14ac:dyDescent="0.2">
      <c r="A43" s="34">
        <v>37</v>
      </c>
      <c r="B43" s="33"/>
      <c r="C43" s="47" t="s">
        <v>271</v>
      </c>
      <c r="D43" s="47">
        <f t="shared" si="7"/>
        <v>15</v>
      </c>
      <c r="E43" s="47">
        <v>15</v>
      </c>
      <c r="F43" s="48"/>
      <c r="G43" s="46"/>
      <c r="H43" s="2"/>
      <c r="I43" s="2"/>
      <c r="J43" s="2"/>
    </row>
    <row r="44" spans="1:10" x14ac:dyDescent="0.2">
      <c r="A44" s="34">
        <v>38</v>
      </c>
      <c r="B44" s="33"/>
      <c r="C44" s="16" t="s">
        <v>272</v>
      </c>
      <c r="D44" s="47">
        <f t="shared" si="7"/>
        <v>40</v>
      </c>
      <c r="E44" s="47">
        <v>40</v>
      </c>
      <c r="F44" s="48"/>
      <c r="G44" s="46"/>
      <c r="H44" s="2"/>
      <c r="I44" s="2"/>
      <c r="J44" s="2"/>
    </row>
    <row r="45" spans="1:10" x14ac:dyDescent="0.2">
      <c r="A45" s="34">
        <v>39</v>
      </c>
      <c r="B45" s="33"/>
      <c r="C45" s="16" t="s">
        <v>273</v>
      </c>
      <c r="D45" s="47">
        <f t="shared" si="7"/>
        <v>40</v>
      </c>
      <c r="E45" s="47">
        <v>40</v>
      </c>
      <c r="F45" s="48"/>
      <c r="G45" s="46"/>
      <c r="H45" s="2"/>
      <c r="I45" s="2"/>
      <c r="J45" s="2"/>
    </row>
    <row r="46" spans="1:10" ht="15.75" customHeight="1" x14ac:dyDescent="0.2">
      <c r="A46" s="34">
        <v>40</v>
      </c>
      <c r="B46" s="22"/>
      <c r="C46" s="50" t="s">
        <v>59</v>
      </c>
      <c r="D46" s="51">
        <f>+D7+D18+D33+D39</f>
        <v>8239.7000000000007</v>
      </c>
      <c r="E46" s="51">
        <f t="shared" ref="E46" si="8">+E7+E18+E33+E39</f>
        <v>1423.3</v>
      </c>
      <c r="F46" s="51">
        <f>+F7+F18+F33+F39</f>
        <v>6359</v>
      </c>
      <c r="G46" s="51">
        <f>+G7+G18+G33+G39</f>
        <v>457.4</v>
      </c>
      <c r="H46" s="2"/>
      <c r="I46" s="2"/>
      <c r="J46" s="2"/>
    </row>
    <row r="47" spans="1:10" x14ac:dyDescent="0.2">
      <c r="C47" s="28" t="s">
        <v>115</v>
      </c>
      <c r="F47" s="53"/>
    </row>
    <row r="48" spans="1:10" x14ac:dyDescent="0.2">
      <c r="F48" s="53"/>
    </row>
    <row r="49" spans="3:6" x14ac:dyDescent="0.2">
      <c r="C49" s="54"/>
      <c r="D49" s="54"/>
      <c r="E49" s="54"/>
      <c r="F49" s="53"/>
    </row>
    <row r="50" spans="3:6" x14ac:dyDescent="0.2">
      <c r="C50" s="4"/>
      <c r="D50" s="4"/>
      <c r="E50" s="4"/>
      <c r="F50" s="53"/>
    </row>
    <row r="51" spans="3:6" x14ac:dyDescent="0.2">
      <c r="C51" s="4"/>
      <c r="D51" s="4"/>
      <c r="E51" s="4"/>
      <c r="F51" s="53"/>
    </row>
    <row r="52" spans="3:6" x14ac:dyDescent="0.2">
      <c r="F52" s="53"/>
    </row>
    <row r="53" spans="3:6" x14ac:dyDescent="0.2">
      <c r="C53" s="20"/>
      <c r="D53" s="20"/>
      <c r="E53" s="20"/>
      <c r="F53" s="53"/>
    </row>
    <row r="54" spans="3:6" x14ac:dyDescent="0.2">
      <c r="C54" s="20"/>
      <c r="D54" s="20"/>
      <c r="E54" s="20"/>
    </row>
    <row r="55" spans="3:6" x14ac:dyDescent="0.2">
      <c r="C55" s="20"/>
      <c r="D55" s="20"/>
      <c r="E55" s="20"/>
    </row>
    <row r="56" spans="3:6" x14ac:dyDescent="0.2">
      <c r="C56" s="20"/>
      <c r="D56" s="20"/>
      <c r="E56" s="20"/>
      <c r="F56" s="53"/>
    </row>
    <row r="57" spans="3:6" x14ac:dyDescent="0.2">
      <c r="C57" s="20"/>
      <c r="D57" s="20"/>
      <c r="E57" s="20"/>
      <c r="F57" s="53"/>
    </row>
    <row r="58" spans="3:6" x14ac:dyDescent="0.2">
      <c r="C58" s="55"/>
      <c r="D58" s="55"/>
      <c r="E58" s="55"/>
      <c r="F58" s="53"/>
    </row>
    <row r="59" spans="3:6" x14ac:dyDescent="0.2">
      <c r="C59" s="56"/>
      <c r="D59" s="56"/>
      <c r="E59" s="56"/>
    </row>
    <row r="60" spans="3:6" x14ac:dyDescent="0.2">
      <c r="C60" s="20"/>
      <c r="D60" s="20"/>
      <c r="E60" s="20"/>
    </row>
    <row r="61" spans="3:6" x14ac:dyDescent="0.2">
      <c r="C61" s="20"/>
      <c r="D61" s="20"/>
      <c r="E61" s="20"/>
    </row>
    <row r="62" spans="3:6" x14ac:dyDescent="0.2">
      <c r="C62" s="20"/>
      <c r="D62" s="20"/>
      <c r="E62" s="20"/>
    </row>
    <row r="63" spans="3:6" x14ac:dyDescent="0.2">
      <c r="C63" s="20"/>
      <c r="D63" s="20"/>
      <c r="E63" s="20"/>
    </row>
    <row r="66" spans="3:5" x14ac:dyDescent="0.2">
      <c r="C66" s="20"/>
      <c r="D66" s="20"/>
      <c r="E66" s="20"/>
    </row>
  </sheetData>
  <mergeCells count="3">
    <mergeCell ref="A3:G3"/>
    <mergeCell ref="D1:G1"/>
    <mergeCell ref="F4:G4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DEF56-6679-4CCD-B059-275BB68DD977}">
  <dimension ref="A1:AE26"/>
  <sheetViews>
    <sheetView topLeftCell="B1" workbookViewId="0">
      <selection activeCell="H19" sqref="H19"/>
    </sheetView>
  </sheetViews>
  <sheetFormatPr defaultColWidth="8.85546875" defaultRowHeight="12.75" x14ac:dyDescent="0.2"/>
  <cols>
    <col min="1" max="1" width="7.42578125" style="1" hidden="1" customWidth="1"/>
    <col min="2" max="2" width="33.85546875" style="1" bestFit="1" customWidth="1"/>
    <col min="3" max="3" width="7.42578125" style="1" customWidth="1"/>
    <col min="4" max="4" width="7.28515625" style="1" customWidth="1"/>
    <col min="5" max="5" width="6.28515625" style="1" customWidth="1"/>
    <col min="6" max="6" width="6.5703125" style="1" customWidth="1"/>
    <col min="7" max="7" width="6.5703125" style="1" bestFit="1" customWidth="1"/>
    <col min="8" max="9" width="6.28515625" style="1" customWidth="1"/>
    <col min="10" max="10" width="5.7109375" style="1" customWidth="1"/>
    <col min="11" max="11" width="6.28515625" style="1" customWidth="1"/>
    <col min="12" max="12" width="6.5703125" style="1" bestFit="1" customWidth="1"/>
    <col min="13" max="13" width="6.140625" style="1" customWidth="1"/>
    <col min="14" max="14" width="6.5703125" style="1" customWidth="1"/>
    <col min="15" max="16" width="6.5703125" style="1" bestFit="1" customWidth="1"/>
    <col min="17" max="17" width="4.7109375" style="1" customWidth="1"/>
    <col min="18" max="18" width="6.28515625" style="1" bestFit="1" customWidth="1"/>
    <col min="19" max="19" width="5.28515625" style="1" customWidth="1"/>
    <col min="20" max="20" width="11" style="1" customWidth="1"/>
    <col min="21" max="21" width="4.7109375" style="1" customWidth="1"/>
    <col min="22" max="22" width="5.28515625" style="1" customWidth="1"/>
    <col min="23" max="23" width="5.7109375" style="1" customWidth="1"/>
    <col min="24" max="24" width="6.28515625" style="1" customWidth="1"/>
    <col min="25" max="25" width="4.7109375" style="1" customWidth="1"/>
    <col min="26" max="26" width="5.28515625" style="1" customWidth="1"/>
    <col min="27" max="27" width="5.5703125" style="1" customWidth="1"/>
    <col min="28" max="28" width="5.7109375" style="1" customWidth="1"/>
    <col min="29" max="29" width="5.42578125" style="1" customWidth="1"/>
    <col min="30" max="30" width="5.28515625" style="1" customWidth="1"/>
    <col min="31" max="16384" width="8.85546875" style="1"/>
  </cols>
  <sheetData>
    <row r="1" spans="1:31" ht="12.4" customHeight="1" x14ac:dyDescent="0.2">
      <c r="B1" s="5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171" t="s">
        <v>327</v>
      </c>
      <c r="P1" s="171"/>
      <c r="Q1" s="171"/>
      <c r="R1" s="171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</row>
    <row r="2" spans="1:31" ht="12.4" customHeight="1" x14ac:dyDescent="0.2">
      <c r="B2" s="5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1" x14ac:dyDescent="0.2">
      <c r="B3" s="5"/>
      <c r="C3" s="202" t="s">
        <v>262</v>
      </c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 x14ac:dyDescent="0.2">
      <c r="Q4" s="171" t="s">
        <v>35</v>
      </c>
      <c r="R4" s="171"/>
      <c r="AC4" s="171"/>
      <c r="AD4" s="171"/>
    </row>
    <row r="5" spans="1:31" ht="22.15" customHeight="1" x14ac:dyDescent="0.2">
      <c r="A5" s="195" t="s">
        <v>45</v>
      </c>
      <c r="B5" s="196" t="s">
        <v>46</v>
      </c>
      <c r="C5" s="196" t="s">
        <v>13</v>
      </c>
      <c r="D5" s="196"/>
      <c r="E5" s="196"/>
      <c r="F5" s="196"/>
      <c r="G5" s="196" t="s">
        <v>9</v>
      </c>
      <c r="H5" s="196"/>
      <c r="I5" s="196"/>
      <c r="J5" s="196"/>
      <c r="K5" s="196" t="s">
        <v>47</v>
      </c>
      <c r="L5" s="196"/>
      <c r="M5" s="196"/>
      <c r="N5" s="196"/>
      <c r="O5" s="197" t="s">
        <v>48</v>
      </c>
      <c r="P5" s="197"/>
      <c r="Q5" s="197"/>
      <c r="R5" s="197"/>
    </row>
    <row r="6" spans="1:31" x14ac:dyDescent="0.2">
      <c r="A6" s="195"/>
      <c r="B6" s="196"/>
      <c r="C6" s="198">
        <v>2025</v>
      </c>
      <c r="D6" s="200">
        <v>2026</v>
      </c>
      <c r="E6" s="201" t="s">
        <v>12</v>
      </c>
      <c r="F6" s="182"/>
      <c r="G6" s="198">
        <v>2025</v>
      </c>
      <c r="H6" s="200">
        <v>2026</v>
      </c>
      <c r="I6" s="201" t="s">
        <v>12</v>
      </c>
      <c r="J6" s="182"/>
      <c r="K6" s="198">
        <v>2025</v>
      </c>
      <c r="L6" s="200">
        <v>2026</v>
      </c>
      <c r="M6" s="201" t="s">
        <v>12</v>
      </c>
      <c r="N6" s="182"/>
      <c r="O6" s="198">
        <v>2025</v>
      </c>
      <c r="P6" s="200">
        <v>2026</v>
      </c>
      <c r="Q6" s="201" t="s">
        <v>12</v>
      </c>
      <c r="R6" s="201"/>
    </row>
    <row r="7" spans="1:31" x14ac:dyDescent="0.2">
      <c r="A7" s="195"/>
      <c r="B7" s="196"/>
      <c r="C7" s="199"/>
      <c r="D7" s="200"/>
      <c r="E7" s="13" t="s">
        <v>11</v>
      </c>
      <c r="F7" s="13" t="s">
        <v>10</v>
      </c>
      <c r="G7" s="199"/>
      <c r="H7" s="200"/>
      <c r="I7" s="13" t="s">
        <v>11</v>
      </c>
      <c r="J7" s="13" t="s">
        <v>10</v>
      </c>
      <c r="K7" s="199"/>
      <c r="L7" s="200"/>
      <c r="M7" s="13" t="s">
        <v>11</v>
      </c>
      <c r="N7" s="13" t="s">
        <v>10</v>
      </c>
      <c r="O7" s="199"/>
      <c r="P7" s="200"/>
      <c r="Q7" s="13" t="s">
        <v>11</v>
      </c>
      <c r="R7" s="13" t="s">
        <v>10</v>
      </c>
    </row>
    <row r="8" spans="1:31" ht="12.95" customHeight="1" x14ac:dyDescent="0.2">
      <c r="A8" s="22" t="s">
        <v>49</v>
      </c>
      <c r="B8" s="90" t="s">
        <v>39</v>
      </c>
      <c r="C8" s="17">
        <v>59301.200000000004</v>
      </c>
      <c r="D8" s="17">
        <v>64718.6</v>
      </c>
      <c r="E8" s="17">
        <v>109.13539692282785</v>
      </c>
      <c r="F8" s="17">
        <v>5417.3999999999942</v>
      </c>
      <c r="G8" s="91">
        <v>28305.7</v>
      </c>
      <c r="H8" s="91">
        <v>30537</v>
      </c>
      <c r="I8" s="17">
        <v>107.8828645820453</v>
      </c>
      <c r="J8" s="17">
        <v>2231.2999999999993</v>
      </c>
      <c r="K8" s="91">
        <v>3570.7999999999997</v>
      </c>
      <c r="L8" s="91">
        <v>3421.1000000000004</v>
      </c>
      <c r="M8" s="14">
        <v>95.807662148538171</v>
      </c>
      <c r="N8" s="17">
        <v>-149.69999999999936</v>
      </c>
      <c r="O8" s="91">
        <v>25553.100000000002</v>
      </c>
      <c r="P8" s="91">
        <v>28783.1</v>
      </c>
      <c r="Q8" s="17">
        <v>112.6403450070637</v>
      </c>
      <c r="R8" s="17">
        <v>3229.9999999999964</v>
      </c>
      <c r="T8" s="2"/>
    </row>
    <row r="9" spans="1:31" ht="12.95" customHeight="1" x14ac:dyDescent="0.2">
      <c r="A9" s="22" t="s">
        <v>50</v>
      </c>
      <c r="B9" s="90" t="s">
        <v>40</v>
      </c>
      <c r="C9" s="17">
        <v>27634.5</v>
      </c>
      <c r="D9" s="17">
        <v>28947.5</v>
      </c>
      <c r="E9" s="17">
        <v>104.75130724275814</v>
      </c>
      <c r="F9" s="17">
        <v>1313</v>
      </c>
      <c r="G9" s="91">
        <v>14731.3</v>
      </c>
      <c r="H9" s="91">
        <v>16353.7</v>
      </c>
      <c r="I9" s="17">
        <v>111.01328463883024</v>
      </c>
      <c r="J9" s="17">
        <v>1622.4000000000015</v>
      </c>
      <c r="K9" s="91">
        <v>3832.2999999999997</v>
      </c>
      <c r="L9" s="91">
        <v>3461.7</v>
      </c>
      <c r="M9" s="14">
        <v>90.329567100696707</v>
      </c>
      <c r="N9" s="17">
        <v>-370.59999999999991</v>
      </c>
      <c r="O9" s="91">
        <v>7344</v>
      </c>
      <c r="P9" s="91">
        <v>7077.9</v>
      </c>
      <c r="Q9" s="17">
        <v>96.376633986928098</v>
      </c>
      <c r="R9" s="17">
        <v>-266.10000000000036</v>
      </c>
      <c r="T9" s="2"/>
    </row>
    <row r="10" spans="1:31" s="3" customFormat="1" x14ac:dyDescent="0.2">
      <c r="A10" s="21" t="s">
        <v>51</v>
      </c>
      <c r="B10" s="90" t="s">
        <v>44</v>
      </c>
      <c r="C10" s="26">
        <v>18951.600000000002</v>
      </c>
      <c r="D10" s="26">
        <v>20367</v>
      </c>
      <c r="E10" s="26">
        <v>107.46849870195656</v>
      </c>
      <c r="F10" s="26">
        <v>1415.3999999999978</v>
      </c>
      <c r="G10" s="92">
        <v>14029.4</v>
      </c>
      <c r="H10" s="92">
        <v>15390.099999999999</v>
      </c>
      <c r="I10" s="26">
        <v>109.69891798651403</v>
      </c>
      <c r="J10" s="26">
        <v>1360.6999999999989</v>
      </c>
      <c r="K10" s="92">
        <v>4904.8</v>
      </c>
      <c r="L10" s="92">
        <v>4960</v>
      </c>
      <c r="M10" s="67">
        <v>101.12542815201435</v>
      </c>
      <c r="N10" s="26">
        <v>55.199999999999818</v>
      </c>
      <c r="O10" s="92">
        <v>0</v>
      </c>
      <c r="P10" s="92">
        <v>0</v>
      </c>
      <c r="Q10" s="26"/>
      <c r="R10" s="26"/>
      <c r="T10" s="2"/>
    </row>
    <row r="11" spans="1:31" ht="12.95" customHeight="1" x14ac:dyDescent="0.2">
      <c r="A11" s="22" t="s">
        <v>52</v>
      </c>
      <c r="B11" s="90" t="s">
        <v>41</v>
      </c>
      <c r="C11" s="17">
        <v>4934.8</v>
      </c>
      <c r="D11" s="17">
        <v>2167.3000000000002</v>
      </c>
      <c r="E11" s="17">
        <v>43.918699845991732</v>
      </c>
      <c r="F11" s="17">
        <v>-2767.5</v>
      </c>
      <c r="G11" s="91">
        <v>1647.5</v>
      </c>
      <c r="H11" s="91">
        <v>1417.6</v>
      </c>
      <c r="I11" s="17">
        <v>86.045523520485574</v>
      </c>
      <c r="J11" s="17">
        <v>-229.90000000000009</v>
      </c>
      <c r="K11" s="91">
        <v>2667.6</v>
      </c>
      <c r="L11" s="91">
        <v>60</v>
      </c>
      <c r="M11" s="14">
        <v>2.2492127755285649</v>
      </c>
      <c r="N11" s="17">
        <v>-2607.6</v>
      </c>
      <c r="O11" s="91">
        <v>619.70000000000005</v>
      </c>
      <c r="P11" s="91">
        <v>689.7</v>
      </c>
      <c r="Q11" s="17">
        <v>111.29578828465387</v>
      </c>
      <c r="R11" s="17">
        <v>70</v>
      </c>
      <c r="T11" s="2"/>
    </row>
    <row r="12" spans="1:31" ht="12.95" customHeight="1" x14ac:dyDescent="0.2">
      <c r="A12" s="22" t="s">
        <v>53</v>
      </c>
      <c r="B12" s="90" t="s">
        <v>42</v>
      </c>
      <c r="C12" s="17">
        <v>11723.400000000001</v>
      </c>
      <c r="D12" s="17">
        <v>13152</v>
      </c>
      <c r="E12" s="17">
        <v>112.18588464097445</v>
      </c>
      <c r="F12" s="17">
        <v>1428.5999999999985</v>
      </c>
      <c r="G12" s="91">
        <v>11292.900000000001</v>
      </c>
      <c r="H12" s="91">
        <v>12808.9</v>
      </c>
      <c r="I12" s="17">
        <v>113.42436398090834</v>
      </c>
      <c r="J12" s="17">
        <v>1515.9999999999982</v>
      </c>
      <c r="K12" s="91">
        <v>67.8</v>
      </c>
      <c r="L12" s="91">
        <v>0</v>
      </c>
      <c r="M12" s="14"/>
      <c r="N12" s="17">
        <v>-67.8</v>
      </c>
      <c r="O12" s="91">
        <v>243.4</v>
      </c>
      <c r="P12" s="91">
        <v>233.1</v>
      </c>
      <c r="Q12" s="17">
        <v>95.768282662284292</v>
      </c>
      <c r="R12" s="17">
        <v>-10.300000000000011</v>
      </c>
      <c r="T12" s="2"/>
    </row>
    <row r="13" spans="1:31" x14ac:dyDescent="0.2">
      <c r="A13" s="6"/>
      <c r="B13" s="9" t="s">
        <v>54</v>
      </c>
      <c r="C13" s="17">
        <v>122545.50000000003</v>
      </c>
      <c r="D13" s="17">
        <v>129352.40000000001</v>
      </c>
      <c r="E13" s="17">
        <v>105.55458992782272</v>
      </c>
      <c r="F13" s="17">
        <v>6806.8999999999905</v>
      </c>
      <c r="G13" s="17">
        <v>70006.8</v>
      </c>
      <c r="H13" s="17">
        <v>76507.299999999988</v>
      </c>
      <c r="I13" s="17">
        <v>109.2855265488495</v>
      </c>
      <c r="J13" s="17">
        <v>6500.4999999999982</v>
      </c>
      <c r="K13" s="17">
        <v>15043.3</v>
      </c>
      <c r="L13" s="17">
        <v>11902.8</v>
      </c>
      <c r="M13" s="17">
        <v>79.123596551288614</v>
      </c>
      <c r="N13" s="17">
        <v>-3140.4999999999995</v>
      </c>
      <c r="O13" s="17">
        <v>33760.200000000004</v>
      </c>
      <c r="P13" s="17">
        <v>36783.799999999996</v>
      </c>
      <c r="Q13" s="17">
        <v>108.95610807992841</v>
      </c>
      <c r="R13" s="17">
        <v>3023.5999999999958</v>
      </c>
    </row>
    <row r="14" spans="1:31" x14ac:dyDescent="0.2">
      <c r="F14" s="2"/>
      <c r="J14" s="2"/>
      <c r="N14" s="2"/>
      <c r="R14" s="2"/>
    </row>
    <row r="15" spans="1:31" ht="24.6" customHeight="1" x14ac:dyDescent="0.2">
      <c r="A15" s="195" t="s">
        <v>45</v>
      </c>
      <c r="B15" s="196" t="s">
        <v>46</v>
      </c>
      <c r="C15" s="197" t="s">
        <v>55</v>
      </c>
      <c r="D15" s="197"/>
      <c r="E15" s="197"/>
      <c r="F15" s="197"/>
      <c r="G15" s="196" t="s">
        <v>56</v>
      </c>
      <c r="H15" s="196"/>
      <c r="I15" s="196"/>
      <c r="J15" s="196"/>
      <c r="K15" s="196" t="s">
        <v>57</v>
      </c>
      <c r="L15" s="196"/>
      <c r="M15" s="196"/>
      <c r="N15" s="196"/>
    </row>
    <row r="16" spans="1:31" x14ac:dyDescent="0.2">
      <c r="A16" s="195"/>
      <c r="B16" s="196"/>
      <c r="C16" s="198">
        <v>2025</v>
      </c>
      <c r="D16" s="200">
        <v>2026</v>
      </c>
      <c r="E16" s="201" t="s">
        <v>12</v>
      </c>
      <c r="F16" s="182"/>
      <c r="G16" s="198">
        <v>2025</v>
      </c>
      <c r="H16" s="200">
        <v>2026</v>
      </c>
      <c r="I16" s="201" t="s">
        <v>12</v>
      </c>
      <c r="J16" s="182"/>
      <c r="K16" s="198">
        <v>2025</v>
      </c>
      <c r="L16" s="200">
        <v>2026</v>
      </c>
      <c r="M16" s="201" t="s">
        <v>12</v>
      </c>
      <c r="N16" s="201"/>
      <c r="O16" s="2"/>
      <c r="V16" s="2"/>
      <c r="Z16" s="2"/>
      <c r="AD16" s="2"/>
    </row>
    <row r="17" spans="1:23" x14ac:dyDescent="0.2">
      <c r="A17" s="195"/>
      <c r="B17" s="196"/>
      <c r="C17" s="199"/>
      <c r="D17" s="200"/>
      <c r="E17" s="13" t="s">
        <v>11</v>
      </c>
      <c r="F17" s="13" t="s">
        <v>10</v>
      </c>
      <c r="G17" s="199"/>
      <c r="H17" s="200"/>
      <c r="I17" s="13" t="s">
        <v>11</v>
      </c>
      <c r="J17" s="13" t="s">
        <v>10</v>
      </c>
      <c r="K17" s="199"/>
      <c r="L17" s="200"/>
      <c r="M17" s="13" t="s">
        <v>11</v>
      </c>
      <c r="N17" s="13" t="s">
        <v>10</v>
      </c>
      <c r="P17" s="2"/>
      <c r="T17" s="3"/>
    </row>
    <row r="18" spans="1:23" ht="12.95" customHeight="1" x14ac:dyDescent="0.2">
      <c r="A18" s="22" t="s">
        <v>49</v>
      </c>
      <c r="B18" s="90" t="s">
        <v>39</v>
      </c>
      <c r="C18" s="91">
        <v>208.5</v>
      </c>
      <c r="D18" s="91">
        <v>297</v>
      </c>
      <c r="E18" s="17">
        <v>142.44604316546764</v>
      </c>
      <c r="F18" s="17">
        <v>88.5</v>
      </c>
      <c r="G18" s="91">
        <v>335.4</v>
      </c>
      <c r="H18" s="91">
        <v>310.8</v>
      </c>
      <c r="I18" s="17">
        <v>92.665474060822902</v>
      </c>
      <c r="J18" s="17">
        <v>-24.599999999999966</v>
      </c>
      <c r="K18" s="91">
        <v>1327.7</v>
      </c>
      <c r="L18" s="91">
        <v>1369.6</v>
      </c>
      <c r="M18" s="17">
        <v>103.1558333960985</v>
      </c>
      <c r="N18" s="17">
        <v>41.899999999999864</v>
      </c>
    </row>
    <row r="19" spans="1:23" ht="12.95" customHeight="1" x14ac:dyDescent="0.2">
      <c r="A19" s="22" t="s">
        <v>50</v>
      </c>
      <c r="B19" s="90" t="s">
        <v>40</v>
      </c>
      <c r="C19" s="91">
        <v>0</v>
      </c>
      <c r="D19" s="91">
        <v>0</v>
      </c>
      <c r="E19" s="17"/>
      <c r="F19" s="17"/>
      <c r="G19" s="91">
        <v>175</v>
      </c>
      <c r="H19" s="91">
        <v>210.6</v>
      </c>
      <c r="I19" s="17">
        <v>120.34285714285713</v>
      </c>
      <c r="J19" s="17">
        <v>35.599999999999994</v>
      </c>
      <c r="K19" s="91">
        <v>1551.9</v>
      </c>
      <c r="L19" s="91">
        <v>1843.6</v>
      </c>
      <c r="M19" s="17">
        <v>118.79631419550228</v>
      </c>
      <c r="N19" s="17">
        <v>291.69999999999982</v>
      </c>
      <c r="W19" s="4"/>
    </row>
    <row r="20" spans="1:23" s="3" customFormat="1" x14ac:dyDescent="0.2">
      <c r="A20" s="21" t="s">
        <v>51</v>
      </c>
      <c r="B20" s="90" t="s">
        <v>44</v>
      </c>
      <c r="C20" s="92">
        <v>0</v>
      </c>
      <c r="D20" s="92">
        <v>0</v>
      </c>
      <c r="E20" s="26"/>
      <c r="F20" s="26"/>
      <c r="G20" s="92">
        <v>17.399999999999999</v>
      </c>
      <c r="H20" s="92">
        <v>16.899999999999999</v>
      </c>
      <c r="I20" s="26">
        <v>97.126436781609186</v>
      </c>
      <c r="J20" s="26">
        <v>-0.5</v>
      </c>
      <c r="K20" s="92">
        <v>0</v>
      </c>
      <c r="L20" s="92">
        <v>0</v>
      </c>
      <c r="M20" s="26"/>
      <c r="N20" s="26"/>
    </row>
    <row r="21" spans="1:23" ht="12.95" customHeight="1" x14ac:dyDescent="0.2">
      <c r="A21" s="22" t="s">
        <v>52</v>
      </c>
      <c r="B21" s="90" t="s">
        <v>41</v>
      </c>
      <c r="C21" s="91">
        <v>0</v>
      </c>
      <c r="D21" s="91">
        <v>0</v>
      </c>
      <c r="E21" s="17"/>
      <c r="F21" s="17"/>
      <c r="G21" s="91"/>
      <c r="H21" s="91"/>
      <c r="I21" s="17"/>
      <c r="J21" s="17"/>
      <c r="K21" s="91">
        <v>0</v>
      </c>
      <c r="L21" s="91">
        <v>0</v>
      </c>
      <c r="M21" s="17"/>
      <c r="N21" s="17"/>
    </row>
    <row r="22" spans="1:23" x14ac:dyDescent="0.2">
      <c r="A22" s="22" t="s">
        <v>53</v>
      </c>
      <c r="B22" s="90" t="s">
        <v>42</v>
      </c>
      <c r="C22" s="91">
        <v>114.1</v>
      </c>
      <c r="D22" s="91">
        <v>105.4</v>
      </c>
      <c r="E22" s="17">
        <v>92.375109553023677</v>
      </c>
      <c r="F22" s="17">
        <v>-8.6999999999999886</v>
      </c>
      <c r="G22" s="91">
        <v>5.2</v>
      </c>
      <c r="H22" s="91">
        <v>4.5999999999999996</v>
      </c>
      <c r="I22" s="17">
        <v>88.461538461538453</v>
      </c>
      <c r="J22" s="17">
        <v>-0.60000000000000053</v>
      </c>
      <c r="K22" s="91">
        <v>0</v>
      </c>
      <c r="L22" s="91">
        <v>0</v>
      </c>
      <c r="M22" s="17"/>
      <c r="N22" s="17"/>
    </row>
    <row r="23" spans="1:23" x14ac:dyDescent="0.2">
      <c r="A23" s="6"/>
      <c r="B23" s="9" t="s">
        <v>54</v>
      </c>
      <c r="C23" s="17">
        <v>322.60000000000002</v>
      </c>
      <c r="D23" s="17">
        <v>402.4</v>
      </c>
      <c r="E23" s="17">
        <v>124.73651580905145</v>
      </c>
      <c r="F23" s="17">
        <v>79.800000000000011</v>
      </c>
      <c r="G23" s="17">
        <v>533</v>
      </c>
      <c r="H23" s="17">
        <v>542.9</v>
      </c>
      <c r="I23" s="17">
        <v>101.85741088180112</v>
      </c>
      <c r="J23" s="17">
        <v>9.900000000000027</v>
      </c>
      <c r="K23" s="17">
        <v>2879.6000000000004</v>
      </c>
      <c r="L23" s="17">
        <v>3213.2</v>
      </c>
      <c r="M23" s="17">
        <v>111.58494235310459</v>
      </c>
      <c r="N23" s="17">
        <v>333.59999999999968</v>
      </c>
      <c r="P23" s="2"/>
    </row>
    <row r="24" spans="1:23" x14ac:dyDescent="0.2">
      <c r="P24" s="2"/>
    </row>
    <row r="25" spans="1:23" x14ac:dyDescent="0.2">
      <c r="D25" s="2"/>
      <c r="F25" s="2"/>
      <c r="J25" s="2"/>
      <c r="M25" s="69"/>
      <c r="N25" s="2"/>
      <c r="O25" s="2"/>
    </row>
    <row r="26" spans="1:23" x14ac:dyDescent="0.2">
      <c r="F26" s="2"/>
    </row>
  </sheetData>
  <mergeCells count="36">
    <mergeCell ref="AC4:AD4"/>
    <mergeCell ref="A5:A7"/>
    <mergeCell ref="B5:B7"/>
    <mergeCell ref="C5:F5"/>
    <mergeCell ref="G5:J5"/>
    <mergeCell ref="K5:N5"/>
    <mergeCell ref="O5:R5"/>
    <mergeCell ref="Q6:R6"/>
    <mergeCell ref="C6:C7"/>
    <mergeCell ref="D6:D7"/>
    <mergeCell ref="E6:F6"/>
    <mergeCell ref="G6:G7"/>
    <mergeCell ref="H6:H7"/>
    <mergeCell ref="I6:J6"/>
    <mergeCell ref="K6:K7"/>
    <mergeCell ref="L6:L7"/>
    <mergeCell ref="M6:N6"/>
    <mergeCell ref="O6:O7"/>
    <mergeCell ref="O1:R1"/>
    <mergeCell ref="P6:P7"/>
    <mergeCell ref="C3:P3"/>
    <mergeCell ref="Q4:R4"/>
    <mergeCell ref="A15:A17"/>
    <mergeCell ref="B15:B17"/>
    <mergeCell ref="C15:F15"/>
    <mergeCell ref="G15:J15"/>
    <mergeCell ref="K15:N15"/>
    <mergeCell ref="C16:C17"/>
    <mergeCell ref="D16:D17"/>
    <mergeCell ref="E16:F16"/>
    <mergeCell ref="G16:G17"/>
    <mergeCell ref="H16:H17"/>
    <mergeCell ref="I16:J16"/>
    <mergeCell ref="K16:K17"/>
    <mergeCell ref="L16:L17"/>
    <mergeCell ref="M16:N16"/>
  </mergeCells>
  <pageMargins left="0.70866141732283472" right="0" top="0.78740157480314965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9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  <vt:lpstr>'2'!Print_Titles</vt:lpstr>
      <vt:lpstr>'3'!Print_Titles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Sakaviciene</dc:creator>
  <cp:lastModifiedBy>Dimitrijus Kuprijanovas</cp:lastModifiedBy>
  <cp:lastPrinted>2026-01-23T09:46:57Z</cp:lastPrinted>
  <dcterms:created xsi:type="dcterms:W3CDTF">2006-11-23T11:47:41Z</dcterms:created>
  <dcterms:modified xsi:type="dcterms:W3CDTF">2026-01-26T12:17:06Z</dcterms:modified>
</cp:coreProperties>
</file>