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20" windowWidth="17190" windowHeight="8910"/>
  </bookViews>
  <sheets>
    <sheet name="Nr 1" sheetId="1" r:id="rId1"/>
    <sheet name="Nr 2" sheetId="8" r:id="rId2"/>
    <sheet name="Nr 3" sheetId="3" r:id="rId3"/>
    <sheet name="Nr 4" sheetId="5" r:id="rId4"/>
    <sheet name="Nr 5" sheetId="7" r:id="rId5"/>
    <sheet name="Nr 6" sheetId="6" r:id="rId6"/>
    <sheet name="Nr 7" sheetId="4" r:id="rId7"/>
  </sheets>
  <externalReferences>
    <externalReference r:id="rId8"/>
    <externalReference r:id="rId9"/>
    <externalReference r:id="rId10"/>
  </externalReferences>
  <definedNames>
    <definedName name="_xlnm.Print_Area" localSheetId="2">'Nr 3'!$A$1:$R$85</definedName>
    <definedName name="_xlnm.Print_Area" localSheetId="4">'Nr 5'!$A$1:$R$36</definedName>
    <definedName name="_xlnm.Print_Area" localSheetId="5">'Nr 6'!$A$1:$AL$115</definedName>
    <definedName name="_xlnm.Print_Area" localSheetId="6">'Nr 7'!$A$1:$L$27</definedName>
    <definedName name="_xlnm.Print_Titles" localSheetId="1">'Nr 2'!$4:$7</definedName>
    <definedName name="_xlnm.Print_Titles" localSheetId="2">'Nr 3'!$5:$8</definedName>
    <definedName name="_xlnm.Print_Titles" localSheetId="3">'Nr 4'!$3:$10</definedName>
    <definedName name="_xlnm.Print_Titles" localSheetId="5">'Nr 6'!$4:$9</definedName>
  </definedNames>
  <calcPr calcId="125725"/>
</workbook>
</file>

<file path=xl/calcChain.xml><?xml version="1.0" encoding="utf-8"?>
<calcChain xmlns="http://schemas.openxmlformats.org/spreadsheetml/2006/main">
  <c r="N36" i="7"/>
  <c r="L36"/>
  <c r="M36" s="1"/>
  <c r="K36"/>
  <c r="J36"/>
  <c r="H36"/>
  <c r="I36" s="1"/>
  <c r="G36"/>
  <c r="F36"/>
  <c r="D36"/>
  <c r="E36" s="1"/>
  <c r="C36"/>
  <c r="R20"/>
  <c r="P20"/>
  <c r="Q20" s="1"/>
  <c r="O20"/>
  <c r="N20"/>
  <c r="L20"/>
  <c r="M20" s="1"/>
  <c r="K20"/>
  <c r="J20"/>
  <c r="H20"/>
  <c r="I20" s="1"/>
  <c r="G20"/>
  <c r="D19"/>
  <c r="E19" s="1"/>
  <c r="C19"/>
  <c r="D18"/>
  <c r="E18" s="1"/>
  <c r="C18"/>
  <c r="D17"/>
  <c r="E17" s="1"/>
  <c r="C17"/>
  <c r="D16"/>
  <c r="E16" s="1"/>
  <c r="C16"/>
  <c r="D15"/>
  <c r="E15" s="1"/>
  <c r="C15"/>
  <c r="D14"/>
  <c r="E14" s="1"/>
  <c r="C14"/>
  <c r="D13"/>
  <c r="E13" s="1"/>
  <c r="C13"/>
  <c r="D12"/>
  <c r="E12" s="1"/>
  <c r="C12"/>
  <c r="D11"/>
  <c r="E11" s="1"/>
  <c r="C11"/>
  <c r="D10"/>
  <c r="E10" s="1"/>
  <c r="C10"/>
  <c r="D9"/>
  <c r="E9" s="1"/>
  <c r="C9"/>
  <c r="C20" s="1"/>
  <c r="C117" i="6"/>
  <c r="B117"/>
  <c r="Z114"/>
  <c r="R114"/>
  <c r="F114"/>
  <c r="C114"/>
  <c r="M113"/>
  <c r="K113"/>
  <c r="N113" s="1"/>
  <c r="D113"/>
  <c r="E113" s="1"/>
  <c r="C113"/>
  <c r="AM113" s="1"/>
  <c r="N112"/>
  <c r="M112"/>
  <c r="D112"/>
  <c r="F112" s="1"/>
  <c r="C112"/>
  <c r="AM112" s="1"/>
  <c r="N111"/>
  <c r="M111"/>
  <c r="D111"/>
  <c r="F111" s="1"/>
  <c r="C111"/>
  <c r="E111" s="1"/>
  <c r="N110"/>
  <c r="M110"/>
  <c r="D110"/>
  <c r="E110" s="1"/>
  <c r="C110"/>
  <c r="AM110" s="1"/>
  <c r="N109"/>
  <c r="M109"/>
  <c r="D109"/>
  <c r="F109" s="1"/>
  <c r="C109"/>
  <c r="AM109" s="1"/>
  <c r="N108"/>
  <c r="M108"/>
  <c r="D108"/>
  <c r="E108" s="1"/>
  <c r="C108"/>
  <c r="AM108" s="1"/>
  <c r="M107"/>
  <c r="K107"/>
  <c r="N107" s="1"/>
  <c r="D107"/>
  <c r="E107" s="1"/>
  <c r="C107"/>
  <c r="AM107" s="1"/>
  <c r="N106"/>
  <c r="M106"/>
  <c r="D106"/>
  <c r="F106" s="1"/>
  <c r="C106"/>
  <c r="AM106" s="1"/>
  <c r="N105"/>
  <c r="M105"/>
  <c r="D105"/>
  <c r="E105" s="1"/>
  <c r="C105"/>
  <c r="AM105" s="1"/>
  <c r="N104"/>
  <c r="M104"/>
  <c r="D104"/>
  <c r="E104" s="1"/>
  <c r="C104"/>
  <c r="N103"/>
  <c r="D103"/>
  <c r="F103" s="1"/>
  <c r="N102"/>
  <c r="F102"/>
  <c r="D102"/>
  <c r="N101"/>
  <c r="M101"/>
  <c r="D101"/>
  <c r="E101" s="1"/>
  <c r="C101"/>
  <c r="N100"/>
  <c r="M100"/>
  <c r="D100"/>
  <c r="F100" s="1"/>
  <c r="C100"/>
  <c r="AM100" s="1"/>
  <c r="N99"/>
  <c r="M99"/>
  <c r="D99"/>
  <c r="E99" s="1"/>
  <c r="C99"/>
  <c r="AM99" s="1"/>
  <c r="N98"/>
  <c r="M98"/>
  <c r="D98"/>
  <c r="F98" s="1"/>
  <c r="C98"/>
  <c r="AM98" s="1"/>
  <c r="N97"/>
  <c r="M97"/>
  <c r="D97"/>
  <c r="E97" s="1"/>
  <c r="C97"/>
  <c r="AM97" s="1"/>
  <c r="N96"/>
  <c r="M96"/>
  <c r="D96"/>
  <c r="F96" s="1"/>
  <c r="C96"/>
  <c r="AM96" s="1"/>
  <c r="N95"/>
  <c r="M95"/>
  <c r="D95"/>
  <c r="E95" s="1"/>
  <c r="C95"/>
  <c r="AM95" s="1"/>
  <c r="N94"/>
  <c r="M94"/>
  <c r="D94"/>
  <c r="F94" s="1"/>
  <c r="C94"/>
  <c r="AM94" s="1"/>
  <c r="N93"/>
  <c r="M93"/>
  <c r="D93"/>
  <c r="F93" s="1"/>
  <c r="C93"/>
  <c r="E93" s="1"/>
  <c r="N92"/>
  <c r="M92"/>
  <c r="D92"/>
  <c r="F92" s="1"/>
  <c r="C92"/>
  <c r="E92" s="1"/>
  <c r="N91"/>
  <c r="M91"/>
  <c r="D91"/>
  <c r="E91" s="1"/>
  <c r="C91"/>
  <c r="AM91" s="1"/>
  <c r="N90"/>
  <c r="M90"/>
  <c r="D90"/>
  <c r="F90" s="1"/>
  <c r="C90"/>
  <c r="AM90" s="1"/>
  <c r="N89"/>
  <c r="M89"/>
  <c r="D89"/>
  <c r="E89" s="1"/>
  <c r="C89"/>
  <c r="AM89" s="1"/>
  <c r="N88"/>
  <c r="M88"/>
  <c r="D88"/>
  <c r="F88" s="1"/>
  <c r="C88"/>
  <c r="AM88" s="1"/>
  <c r="N87"/>
  <c r="M87"/>
  <c r="D87"/>
  <c r="E87" s="1"/>
  <c r="C87"/>
  <c r="AM87" s="1"/>
  <c r="Z86"/>
  <c r="Y86"/>
  <c r="D86"/>
  <c r="E86" s="1"/>
  <c r="C86"/>
  <c r="X85"/>
  <c r="Y85" s="1"/>
  <c r="C85"/>
  <c r="Z84"/>
  <c r="Y84"/>
  <c r="D84"/>
  <c r="F84" s="1"/>
  <c r="C84"/>
  <c r="E84" s="1"/>
  <c r="N83"/>
  <c r="M83"/>
  <c r="D83"/>
  <c r="F83" s="1"/>
  <c r="C83"/>
  <c r="E83" s="1"/>
  <c r="N82"/>
  <c r="M82"/>
  <c r="D82"/>
  <c r="F82" s="1"/>
  <c r="C82"/>
  <c r="E82" s="1"/>
  <c r="Z81"/>
  <c r="Y81"/>
  <c r="D81"/>
  <c r="F81" s="1"/>
  <c r="C81"/>
  <c r="E81" s="1"/>
  <c r="N80"/>
  <c r="M80"/>
  <c r="D80"/>
  <c r="F80" s="1"/>
  <c r="C80"/>
  <c r="E80" s="1"/>
  <c r="N79"/>
  <c r="M79"/>
  <c r="D79"/>
  <c r="F79" s="1"/>
  <c r="C79"/>
  <c r="E79" s="1"/>
  <c r="N78"/>
  <c r="M78"/>
  <c r="D78"/>
  <c r="F78" s="1"/>
  <c r="C78"/>
  <c r="E78" s="1"/>
  <c r="N77"/>
  <c r="M77"/>
  <c r="D77"/>
  <c r="E77" s="1"/>
  <c r="C77"/>
  <c r="AM77" s="1"/>
  <c r="N76"/>
  <c r="M76"/>
  <c r="D76"/>
  <c r="E76" s="1"/>
  <c r="C76"/>
  <c r="N75"/>
  <c r="M75"/>
  <c r="D75"/>
  <c r="E75" s="1"/>
  <c r="C75"/>
  <c r="AM74"/>
  <c r="AJ74"/>
  <c r="V74"/>
  <c r="V115" s="1"/>
  <c r="U74"/>
  <c r="U115" s="1"/>
  <c r="T74"/>
  <c r="T115" s="1"/>
  <c r="S74"/>
  <c r="S115" s="1"/>
  <c r="L74"/>
  <c r="AF73"/>
  <c r="AG73" s="1"/>
  <c r="AE73"/>
  <c r="AB73"/>
  <c r="AC73" s="1"/>
  <c r="AA73"/>
  <c r="X73"/>
  <c r="Y73" s="1"/>
  <c r="W73"/>
  <c r="O73"/>
  <c r="Q73" s="1"/>
  <c r="K73"/>
  <c r="N73" s="1"/>
  <c r="H73"/>
  <c r="I73" s="1"/>
  <c r="G73"/>
  <c r="D73"/>
  <c r="E73" s="1"/>
  <c r="C73"/>
  <c r="AF72"/>
  <c r="AG72" s="1"/>
  <c r="AE72"/>
  <c r="AB72"/>
  <c r="AD72" s="1"/>
  <c r="AA72"/>
  <c r="AC72" s="1"/>
  <c r="X72"/>
  <c r="Y72" s="1"/>
  <c r="W72"/>
  <c r="Q72"/>
  <c r="O72"/>
  <c r="R72" s="1"/>
  <c r="K72"/>
  <c r="N72" s="1"/>
  <c r="H72"/>
  <c r="J72" s="1"/>
  <c r="G72"/>
  <c r="I72" s="1"/>
  <c r="D72"/>
  <c r="F72" s="1"/>
  <c r="C72"/>
  <c r="E72" s="1"/>
  <c r="AF71"/>
  <c r="AH71" s="1"/>
  <c r="AE71"/>
  <c r="AG71" s="1"/>
  <c r="AB71"/>
  <c r="AD71" s="1"/>
  <c r="AA71"/>
  <c r="AC71" s="1"/>
  <c r="X71"/>
  <c r="Z71" s="1"/>
  <c r="W71"/>
  <c r="Y71" s="1"/>
  <c r="Q71"/>
  <c r="O71"/>
  <c r="R71" s="1"/>
  <c r="K71"/>
  <c r="N71" s="1"/>
  <c r="H71"/>
  <c r="J71" s="1"/>
  <c r="G71"/>
  <c r="I71" s="1"/>
  <c r="D71"/>
  <c r="F71" s="1"/>
  <c r="C71"/>
  <c r="E71" s="1"/>
  <c r="AL70"/>
  <c r="AF70"/>
  <c r="AH70" s="1"/>
  <c r="AE70"/>
  <c r="AB70"/>
  <c r="AD70" s="1"/>
  <c r="AA70"/>
  <c r="X70"/>
  <c r="Z70" s="1"/>
  <c r="W70"/>
  <c r="O70"/>
  <c r="R70" s="1"/>
  <c r="M70"/>
  <c r="K70"/>
  <c r="N70" s="1"/>
  <c r="H70"/>
  <c r="J70" s="1"/>
  <c r="G70"/>
  <c r="D70"/>
  <c r="F70" s="1"/>
  <c r="C70"/>
  <c r="AF69"/>
  <c r="AH69" s="1"/>
  <c r="AE69"/>
  <c r="AB69"/>
  <c r="AD69" s="1"/>
  <c r="AA69"/>
  <c r="AC69" s="1"/>
  <c r="X69"/>
  <c r="Z69" s="1"/>
  <c r="W69"/>
  <c r="Y69" s="1"/>
  <c r="Q69"/>
  <c r="O69"/>
  <c r="R69" s="1"/>
  <c r="K69"/>
  <c r="M69" s="1"/>
  <c r="H69"/>
  <c r="J69" s="1"/>
  <c r="G69"/>
  <c r="I69" s="1"/>
  <c r="D69"/>
  <c r="F69" s="1"/>
  <c r="C69"/>
  <c r="E69" s="1"/>
  <c r="AF68"/>
  <c r="AH68" s="1"/>
  <c r="AE68"/>
  <c r="AB68"/>
  <c r="AD68" s="1"/>
  <c r="AA68"/>
  <c r="AC68" s="1"/>
  <c r="X68"/>
  <c r="Z68" s="1"/>
  <c r="W68"/>
  <c r="Y68" s="1"/>
  <c r="Q68"/>
  <c r="O68"/>
  <c r="R68" s="1"/>
  <c r="K68"/>
  <c r="M68" s="1"/>
  <c r="H68"/>
  <c r="J68" s="1"/>
  <c r="G68"/>
  <c r="I68" s="1"/>
  <c r="D68"/>
  <c r="F68" s="1"/>
  <c r="C68"/>
  <c r="E68" s="1"/>
  <c r="AF67"/>
  <c r="AH67" s="1"/>
  <c r="AE67"/>
  <c r="AB67"/>
  <c r="AC67" s="1"/>
  <c r="AA67"/>
  <c r="X67"/>
  <c r="Y67" s="1"/>
  <c r="W67"/>
  <c r="O67"/>
  <c r="Q67" s="1"/>
  <c r="M67"/>
  <c r="K67"/>
  <c r="N67" s="1"/>
  <c r="H67"/>
  <c r="D67"/>
  <c r="E67" s="1"/>
  <c r="C67"/>
  <c r="AL66"/>
  <c r="AI66"/>
  <c r="AI74" s="1"/>
  <c r="AI115" s="1"/>
  <c r="AF66"/>
  <c r="AG66" s="1"/>
  <c r="AE66"/>
  <c r="AB66"/>
  <c r="AC66" s="1"/>
  <c r="AA66"/>
  <c r="X66"/>
  <c r="Y66" s="1"/>
  <c r="W66"/>
  <c r="O66"/>
  <c r="Q66" s="1"/>
  <c r="M66"/>
  <c r="K66"/>
  <c r="N66" s="1"/>
  <c r="H66"/>
  <c r="D66"/>
  <c r="E66" s="1"/>
  <c r="C66"/>
  <c r="AF65"/>
  <c r="AG65" s="1"/>
  <c r="AE65"/>
  <c r="AB65"/>
  <c r="AC65" s="1"/>
  <c r="AA65"/>
  <c r="X65"/>
  <c r="Y65" s="1"/>
  <c r="W65"/>
  <c r="O65"/>
  <c r="Q65" s="1"/>
  <c r="M65"/>
  <c r="K65"/>
  <c r="N65" s="1"/>
  <c r="H65"/>
  <c r="D65"/>
  <c r="E65" s="1"/>
  <c r="C65"/>
  <c r="AF64"/>
  <c r="AG64" s="1"/>
  <c r="AE64"/>
  <c r="AB64"/>
  <c r="AC64" s="1"/>
  <c r="AA64"/>
  <c r="X64"/>
  <c r="Y64" s="1"/>
  <c r="W64"/>
  <c r="O64"/>
  <c r="Q64" s="1"/>
  <c r="M64"/>
  <c r="K64"/>
  <c r="N64" s="1"/>
  <c r="H64"/>
  <c r="D64"/>
  <c r="E64" s="1"/>
  <c r="C64"/>
  <c r="AF63"/>
  <c r="AG63" s="1"/>
  <c r="AE63"/>
  <c r="AB63"/>
  <c r="AC63" s="1"/>
  <c r="AA63"/>
  <c r="X63"/>
  <c r="Y63" s="1"/>
  <c r="W63"/>
  <c r="O63"/>
  <c r="Q63" s="1"/>
  <c r="M63"/>
  <c r="K63"/>
  <c r="N63" s="1"/>
  <c r="H63"/>
  <c r="D63"/>
  <c r="E63" s="1"/>
  <c r="C63"/>
  <c r="AF62"/>
  <c r="AG62" s="1"/>
  <c r="AE62"/>
  <c r="AB62"/>
  <c r="AC62" s="1"/>
  <c r="AA62"/>
  <c r="X62"/>
  <c r="Y62" s="1"/>
  <c r="W62"/>
  <c r="O62"/>
  <c r="Q62" s="1"/>
  <c r="M62"/>
  <c r="K62"/>
  <c r="N62" s="1"/>
  <c r="H62"/>
  <c r="D62"/>
  <c r="E62" s="1"/>
  <c r="C62"/>
  <c r="R61"/>
  <c r="Q61"/>
  <c r="N61"/>
  <c r="M61"/>
  <c r="H61"/>
  <c r="I61" s="1"/>
  <c r="G61"/>
  <c r="D61"/>
  <c r="E61" s="1"/>
  <c r="C61"/>
  <c r="AL60"/>
  <c r="AK60"/>
  <c r="AH60"/>
  <c r="AG60"/>
  <c r="R60"/>
  <c r="Q60"/>
  <c r="N60"/>
  <c r="M60"/>
  <c r="H60"/>
  <c r="I60" s="1"/>
  <c r="G60"/>
  <c r="D60"/>
  <c r="E60" s="1"/>
  <c r="C60"/>
  <c r="AH59"/>
  <c r="R59"/>
  <c r="Q59"/>
  <c r="N59"/>
  <c r="M59"/>
  <c r="H59"/>
  <c r="J59" s="1"/>
  <c r="G59"/>
  <c r="I59" s="1"/>
  <c r="D59"/>
  <c r="F59" s="1"/>
  <c r="C59"/>
  <c r="E59" s="1"/>
  <c r="AL58"/>
  <c r="AK58"/>
  <c r="AG58"/>
  <c r="AE58"/>
  <c r="AB58"/>
  <c r="AC58" s="1"/>
  <c r="AA58"/>
  <c r="X58"/>
  <c r="Y58" s="1"/>
  <c r="W58"/>
  <c r="O58"/>
  <c r="Q58" s="1"/>
  <c r="M58"/>
  <c r="K58"/>
  <c r="N58" s="1"/>
  <c r="H58"/>
  <c r="D58"/>
  <c r="E58" s="1"/>
  <c r="C58"/>
  <c r="AL57"/>
  <c r="AG57"/>
  <c r="AE57"/>
  <c r="AH57" s="1"/>
  <c r="AB57"/>
  <c r="AC57" s="1"/>
  <c r="AA57"/>
  <c r="X57"/>
  <c r="Y57" s="1"/>
  <c r="W57"/>
  <c r="O57"/>
  <c r="Q57" s="1"/>
  <c r="M57"/>
  <c r="K57"/>
  <c r="N57" s="1"/>
  <c r="H57"/>
  <c r="D57"/>
  <c r="E57" s="1"/>
  <c r="C57"/>
  <c r="AL56"/>
  <c r="AK56"/>
  <c r="AH56"/>
  <c r="AG56"/>
  <c r="AD56"/>
  <c r="AC56"/>
  <c r="Z56"/>
  <c r="Y56"/>
  <c r="R56"/>
  <c r="Q56"/>
  <c r="N56"/>
  <c r="M56"/>
  <c r="H56"/>
  <c r="I56" s="1"/>
  <c r="G56"/>
  <c r="D56"/>
  <c r="E56" s="1"/>
  <c r="C56"/>
  <c r="AH55"/>
  <c r="AG55"/>
  <c r="AB55"/>
  <c r="AC55" s="1"/>
  <c r="AA55"/>
  <c r="X55"/>
  <c r="Y55" s="1"/>
  <c r="W55"/>
  <c r="R55"/>
  <c r="Q55"/>
  <c r="N55"/>
  <c r="M55"/>
  <c r="H55"/>
  <c r="I55" s="1"/>
  <c r="G55"/>
  <c r="D55"/>
  <c r="E55" s="1"/>
  <c r="C55"/>
  <c r="AF54"/>
  <c r="AG54" s="1"/>
  <c r="AE54"/>
  <c r="AD54"/>
  <c r="AC54"/>
  <c r="Z54"/>
  <c r="Y54"/>
  <c r="R54"/>
  <c r="Q54"/>
  <c r="N54"/>
  <c r="M54"/>
  <c r="H54"/>
  <c r="I54" s="1"/>
  <c r="G54"/>
  <c r="D54"/>
  <c r="E54" s="1"/>
  <c r="C54"/>
  <c r="AF53"/>
  <c r="AG53" s="1"/>
  <c r="AE53"/>
  <c r="R53"/>
  <c r="Q53"/>
  <c r="N53"/>
  <c r="M53"/>
  <c r="H53"/>
  <c r="I53" s="1"/>
  <c r="G53"/>
  <c r="D53"/>
  <c r="E53" s="1"/>
  <c r="C53"/>
  <c r="AF52"/>
  <c r="AG52" s="1"/>
  <c r="R52"/>
  <c r="Q52"/>
  <c r="N52"/>
  <c r="M52"/>
  <c r="H52"/>
  <c r="J52" s="1"/>
  <c r="G52"/>
  <c r="I52" s="1"/>
  <c r="C52"/>
  <c r="AH51"/>
  <c r="AG51"/>
  <c r="R51"/>
  <c r="Q51"/>
  <c r="N51"/>
  <c r="M51"/>
  <c r="H51"/>
  <c r="J51" s="1"/>
  <c r="G51"/>
  <c r="I51" s="1"/>
  <c r="D51"/>
  <c r="F51" s="1"/>
  <c r="C51"/>
  <c r="E51" s="1"/>
  <c r="AH50"/>
  <c r="AG50"/>
  <c r="R50"/>
  <c r="Q50"/>
  <c r="N50"/>
  <c r="M50"/>
  <c r="H50"/>
  <c r="J50" s="1"/>
  <c r="G50"/>
  <c r="I50" s="1"/>
  <c r="D50"/>
  <c r="F50" s="1"/>
  <c r="C50"/>
  <c r="E50" s="1"/>
  <c r="AH49"/>
  <c r="R49"/>
  <c r="Q49"/>
  <c r="N49"/>
  <c r="M49"/>
  <c r="H49"/>
  <c r="I49" s="1"/>
  <c r="G49"/>
  <c r="D49"/>
  <c r="E49" s="1"/>
  <c r="C49"/>
  <c r="AH48"/>
  <c r="AG48"/>
  <c r="R48"/>
  <c r="Q48"/>
  <c r="N48"/>
  <c r="M48"/>
  <c r="H48"/>
  <c r="I48" s="1"/>
  <c r="G48"/>
  <c r="D48"/>
  <c r="E48" s="1"/>
  <c r="C48"/>
  <c r="AH47"/>
  <c r="AG47"/>
  <c r="R47"/>
  <c r="Q47"/>
  <c r="N47"/>
  <c r="M47"/>
  <c r="H47"/>
  <c r="I47" s="1"/>
  <c r="G47"/>
  <c r="D47"/>
  <c r="E47" s="1"/>
  <c r="C47"/>
  <c r="AL46"/>
  <c r="AF46"/>
  <c r="AH46" s="1"/>
  <c r="AE46"/>
  <c r="R46"/>
  <c r="Q46"/>
  <c r="N46"/>
  <c r="M46"/>
  <c r="H46"/>
  <c r="J46" s="1"/>
  <c r="G46"/>
  <c r="I46" s="1"/>
  <c r="D46"/>
  <c r="F46" s="1"/>
  <c r="C46"/>
  <c r="E46" s="1"/>
  <c r="AF45"/>
  <c r="AH45" s="1"/>
  <c r="AE45"/>
  <c r="AC45"/>
  <c r="AB45"/>
  <c r="AD45" s="1"/>
  <c r="X45"/>
  <c r="Y45" s="1"/>
  <c r="R45"/>
  <c r="Q45"/>
  <c r="N45"/>
  <c r="M45"/>
  <c r="H45"/>
  <c r="J45" s="1"/>
  <c r="G45"/>
  <c r="I45" s="1"/>
  <c r="C45"/>
  <c r="AF44"/>
  <c r="AH44" s="1"/>
  <c r="AE44"/>
  <c r="AD44"/>
  <c r="AC44"/>
  <c r="Z44"/>
  <c r="Y44"/>
  <c r="Q44"/>
  <c r="P44"/>
  <c r="R44" s="1"/>
  <c r="N44"/>
  <c r="M44"/>
  <c r="H44"/>
  <c r="I44" s="1"/>
  <c r="G44"/>
  <c r="D44"/>
  <c r="AL43"/>
  <c r="AF43"/>
  <c r="AH43" s="1"/>
  <c r="AE43"/>
  <c r="AD43"/>
  <c r="AC43"/>
  <c r="Z43"/>
  <c r="Y43"/>
  <c r="R43"/>
  <c r="Q43"/>
  <c r="N43"/>
  <c r="M43"/>
  <c r="H43"/>
  <c r="J43" s="1"/>
  <c r="G43"/>
  <c r="I43" s="1"/>
  <c r="D43"/>
  <c r="F43" s="1"/>
  <c r="C43"/>
  <c r="E43" s="1"/>
  <c r="AL42"/>
  <c r="AK42"/>
  <c r="AF42"/>
  <c r="AE42"/>
  <c r="AD42"/>
  <c r="AC42"/>
  <c r="Z42"/>
  <c r="Y42"/>
  <c r="R42"/>
  <c r="Q42"/>
  <c r="N42"/>
  <c r="M42"/>
  <c r="H42"/>
  <c r="J42" s="1"/>
  <c r="G42"/>
  <c r="I42" s="1"/>
  <c r="D42"/>
  <c r="C42"/>
  <c r="E42" s="1"/>
  <c r="AL41"/>
  <c r="AK41"/>
  <c r="AH41"/>
  <c r="AG41"/>
  <c r="AD41"/>
  <c r="AC41"/>
  <c r="Z41"/>
  <c r="Y41"/>
  <c r="R41"/>
  <c r="Q41"/>
  <c r="N41"/>
  <c r="M41"/>
  <c r="H41"/>
  <c r="G41"/>
  <c r="I41" s="1"/>
  <c r="D41"/>
  <c r="F41" s="1"/>
  <c r="C41"/>
  <c r="E41" s="1"/>
  <c r="AL40"/>
  <c r="AF40"/>
  <c r="AG40" s="1"/>
  <c r="AE40"/>
  <c r="AD40"/>
  <c r="AC40"/>
  <c r="Z40"/>
  <c r="Y40"/>
  <c r="R40"/>
  <c r="Q40"/>
  <c r="N40"/>
  <c r="M40"/>
  <c r="H40"/>
  <c r="I40" s="1"/>
  <c r="G40"/>
  <c r="D40"/>
  <c r="E40" s="1"/>
  <c r="C40"/>
  <c r="AF39"/>
  <c r="AG39" s="1"/>
  <c r="AE39"/>
  <c r="AB39"/>
  <c r="AC39" s="1"/>
  <c r="AA39"/>
  <c r="X39"/>
  <c r="Y39" s="1"/>
  <c r="W39"/>
  <c r="R39"/>
  <c r="Q39"/>
  <c r="N39"/>
  <c r="M39"/>
  <c r="H39"/>
  <c r="I39" s="1"/>
  <c r="G39"/>
  <c r="D39"/>
  <c r="E39" s="1"/>
  <c r="C39"/>
  <c r="AL38"/>
  <c r="AH38"/>
  <c r="AG38"/>
  <c r="AD38"/>
  <c r="AC38"/>
  <c r="Z38"/>
  <c r="Y38"/>
  <c r="R38"/>
  <c r="Q38"/>
  <c r="N38"/>
  <c r="M38"/>
  <c r="H38"/>
  <c r="J38" s="1"/>
  <c r="G38"/>
  <c r="I38" s="1"/>
  <c r="D38"/>
  <c r="F38" s="1"/>
  <c r="C38"/>
  <c r="E38" s="1"/>
  <c r="AF37"/>
  <c r="AH37" s="1"/>
  <c r="AE37"/>
  <c r="AD37"/>
  <c r="AC37"/>
  <c r="Z37"/>
  <c r="Y37"/>
  <c r="R37"/>
  <c r="Q37"/>
  <c r="N37"/>
  <c r="M37"/>
  <c r="H37"/>
  <c r="J37" s="1"/>
  <c r="G37"/>
  <c r="I37" s="1"/>
  <c r="D37"/>
  <c r="F37" s="1"/>
  <c r="C37"/>
  <c r="E37" s="1"/>
  <c r="AF36"/>
  <c r="AH36" s="1"/>
  <c r="AE36"/>
  <c r="AD36"/>
  <c r="AC36"/>
  <c r="Z36"/>
  <c r="Y36"/>
  <c r="R36"/>
  <c r="Q36"/>
  <c r="N36"/>
  <c r="M36"/>
  <c r="H36"/>
  <c r="J36" s="1"/>
  <c r="G36"/>
  <c r="I36" s="1"/>
  <c r="D36"/>
  <c r="F36" s="1"/>
  <c r="C36"/>
  <c r="E36" s="1"/>
  <c r="AF35"/>
  <c r="AH35" s="1"/>
  <c r="AE35"/>
  <c r="AD35"/>
  <c r="AC35"/>
  <c r="Z35"/>
  <c r="Y35"/>
  <c r="R35"/>
  <c r="Q35"/>
  <c r="N35"/>
  <c r="M35"/>
  <c r="H35"/>
  <c r="J35" s="1"/>
  <c r="G35"/>
  <c r="I35" s="1"/>
  <c r="D35"/>
  <c r="F35" s="1"/>
  <c r="C35"/>
  <c r="E35" s="1"/>
  <c r="AF34"/>
  <c r="AH34" s="1"/>
  <c r="AE34"/>
  <c r="AD34"/>
  <c r="AC34"/>
  <c r="Z34"/>
  <c r="Y34"/>
  <c r="R34"/>
  <c r="Q34"/>
  <c r="N34"/>
  <c r="M34"/>
  <c r="H34"/>
  <c r="J34" s="1"/>
  <c r="G34"/>
  <c r="I34" s="1"/>
  <c r="D34"/>
  <c r="F34" s="1"/>
  <c r="C34"/>
  <c r="E34" s="1"/>
  <c r="AL33"/>
  <c r="AF33"/>
  <c r="AG33" s="1"/>
  <c r="AE33"/>
  <c r="AB33"/>
  <c r="AC33" s="1"/>
  <c r="AA33"/>
  <c r="W33"/>
  <c r="Y33" s="1"/>
  <c r="Q33"/>
  <c r="O33"/>
  <c r="R33" s="1"/>
  <c r="K33"/>
  <c r="M33" s="1"/>
  <c r="G33"/>
  <c r="C33"/>
  <c r="AF32"/>
  <c r="AH32" s="1"/>
  <c r="AE32"/>
  <c r="AD32"/>
  <c r="AC32"/>
  <c r="Z32"/>
  <c r="Y32"/>
  <c r="R32"/>
  <c r="Q32"/>
  <c r="N32"/>
  <c r="M32"/>
  <c r="H32"/>
  <c r="J32" s="1"/>
  <c r="G32"/>
  <c r="I32" s="1"/>
  <c r="D32"/>
  <c r="F32" s="1"/>
  <c r="C32"/>
  <c r="E32" s="1"/>
  <c r="AF31"/>
  <c r="AH31" s="1"/>
  <c r="AE31"/>
  <c r="AD31"/>
  <c r="AC31"/>
  <c r="Z31"/>
  <c r="Y31"/>
  <c r="R31"/>
  <c r="Q31"/>
  <c r="N31"/>
  <c r="M31"/>
  <c r="H31"/>
  <c r="J31" s="1"/>
  <c r="G31"/>
  <c r="I31" s="1"/>
  <c r="D31"/>
  <c r="F31" s="1"/>
  <c r="C31"/>
  <c r="E31" s="1"/>
  <c r="AF30"/>
  <c r="AH30" s="1"/>
  <c r="AE30"/>
  <c r="AD30"/>
  <c r="AC30"/>
  <c r="Z30"/>
  <c r="Y30"/>
  <c r="R30"/>
  <c r="Q30"/>
  <c r="N30"/>
  <c r="M30"/>
  <c r="H30"/>
  <c r="J30" s="1"/>
  <c r="G30"/>
  <c r="I30" s="1"/>
  <c r="D30"/>
  <c r="F30" s="1"/>
  <c r="C30"/>
  <c r="E30" s="1"/>
  <c r="AF29"/>
  <c r="AH29" s="1"/>
  <c r="AE29"/>
  <c r="AC29"/>
  <c r="AA29"/>
  <c r="AA74" s="1"/>
  <c r="AA115" s="1"/>
  <c r="W29"/>
  <c r="W74" s="1"/>
  <c r="Q29"/>
  <c r="O29"/>
  <c r="O74" s="1"/>
  <c r="O115" s="1"/>
  <c r="M29"/>
  <c r="K29"/>
  <c r="K74" s="1"/>
  <c r="K115" s="1"/>
  <c r="H29"/>
  <c r="J29" s="1"/>
  <c r="G29"/>
  <c r="I29" s="1"/>
  <c r="D29"/>
  <c r="F29" s="1"/>
  <c r="C29"/>
  <c r="E29" s="1"/>
  <c r="AF28"/>
  <c r="AH28" s="1"/>
  <c r="AE28"/>
  <c r="AD28"/>
  <c r="AC28"/>
  <c r="Z28"/>
  <c r="Y28"/>
  <c r="R28"/>
  <c r="Q28"/>
  <c r="N28"/>
  <c r="M28"/>
  <c r="H28"/>
  <c r="J28" s="1"/>
  <c r="G28"/>
  <c r="I28" s="1"/>
  <c r="D28"/>
  <c r="F28" s="1"/>
  <c r="C28"/>
  <c r="E28" s="1"/>
  <c r="AF27"/>
  <c r="AH27" s="1"/>
  <c r="AE27"/>
  <c r="AD27"/>
  <c r="AC27"/>
  <c r="Z27"/>
  <c r="Y27"/>
  <c r="R27"/>
  <c r="Q27"/>
  <c r="N27"/>
  <c r="M27"/>
  <c r="H27"/>
  <c r="J27" s="1"/>
  <c r="G27"/>
  <c r="I27" s="1"/>
  <c r="D27"/>
  <c r="F27" s="1"/>
  <c r="C27"/>
  <c r="E27" s="1"/>
  <c r="AF26"/>
  <c r="AH26" s="1"/>
  <c r="AE26"/>
  <c r="AD26"/>
  <c r="AC26"/>
  <c r="Z26"/>
  <c r="Y26"/>
  <c r="R26"/>
  <c r="Q26"/>
  <c r="N26"/>
  <c r="M26"/>
  <c r="H26"/>
  <c r="J26" s="1"/>
  <c r="G26"/>
  <c r="I26" s="1"/>
  <c r="D26"/>
  <c r="F26" s="1"/>
  <c r="C26"/>
  <c r="E26" s="1"/>
  <c r="AF25"/>
  <c r="AH25" s="1"/>
  <c r="AE25"/>
  <c r="AD25"/>
  <c r="AC25"/>
  <c r="Z25"/>
  <c r="Y25"/>
  <c r="R25"/>
  <c r="Q25"/>
  <c r="N25"/>
  <c r="M25"/>
  <c r="H25"/>
  <c r="J25" s="1"/>
  <c r="G25"/>
  <c r="I25" s="1"/>
  <c r="D25"/>
  <c r="F25" s="1"/>
  <c r="C25"/>
  <c r="E25" s="1"/>
  <c r="AF24"/>
  <c r="AH24" s="1"/>
  <c r="AE24"/>
  <c r="AD24"/>
  <c r="AC24"/>
  <c r="Z24"/>
  <c r="Y24"/>
  <c r="R24"/>
  <c r="Q24"/>
  <c r="N24"/>
  <c r="M24"/>
  <c r="H24"/>
  <c r="J24" s="1"/>
  <c r="G24"/>
  <c r="I24" s="1"/>
  <c r="D24"/>
  <c r="F24" s="1"/>
  <c r="C24"/>
  <c r="E24" s="1"/>
  <c r="AL23"/>
  <c r="AK23"/>
  <c r="AF23"/>
  <c r="AH23" s="1"/>
  <c r="AE23"/>
  <c r="AD23"/>
  <c r="AC23"/>
  <c r="Z23"/>
  <c r="Y23"/>
  <c r="R23"/>
  <c r="Q23"/>
  <c r="N23"/>
  <c r="M23"/>
  <c r="H23"/>
  <c r="J23" s="1"/>
  <c r="G23"/>
  <c r="I23" s="1"/>
  <c r="D23"/>
  <c r="F23" s="1"/>
  <c r="C23"/>
  <c r="E23" s="1"/>
  <c r="AL22"/>
  <c r="AH22"/>
  <c r="AG22"/>
  <c r="AD22"/>
  <c r="AC22"/>
  <c r="Z22"/>
  <c r="Y22"/>
  <c r="R22"/>
  <c r="Q22"/>
  <c r="N22"/>
  <c r="M22"/>
  <c r="H22"/>
  <c r="I22" s="1"/>
  <c r="G22"/>
  <c r="D22"/>
  <c r="E22" s="1"/>
  <c r="C22"/>
  <c r="AL21"/>
  <c r="AL74" s="1"/>
  <c r="AL115" s="1"/>
  <c r="AF21"/>
  <c r="AH21" s="1"/>
  <c r="AE21"/>
  <c r="AD21"/>
  <c r="AC21"/>
  <c r="Z21"/>
  <c r="Y21"/>
  <c r="R21"/>
  <c r="Q21"/>
  <c r="N21"/>
  <c r="M21"/>
  <c r="H21"/>
  <c r="J21" s="1"/>
  <c r="G21"/>
  <c r="I21" s="1"/>
  <c r="D21"/>
  <c r="F21" s="1"/>
  <c r="C21"/>
  <c r="E21" s="1"/>
  <c r="AF20"/>
  <c r="AH20" s="1"/>
  <c r="AE20"/>
  <c r="AD20"/>
  <c r="AC20"/>
  <c r="Z20"/>
  <c r="Y20"/>
  <c r="R20"/>
  <c r="Q20"/>
  <c r="N20"/>
  <c r="M20"/>
  <c r="H20"/>
  <c r="J20" s="1"/>
  <c r="G20"/>
  <c r="I20" s="1"/>
  <c r="D20"/>
  <c r="F20" s="1"/>
  <c r="C20"/>
  <c r="E20" s="1"/>
  <c r="AH19"/>
  <c r="AG19"/>
  <c r="AD19"/>
  <c r="AC19"/>
  <c r="Z19"/>
  <c r="Y19"/>
  <c r="R19"/>
  <c r="Q19"/>
  <c r="N19"/>
  <c r="M19"/>
  <c r="H19"/>
  <c r="J19" s="1"/>
  <c r="G19"/>
  <c r="I19" s="1"/>
  <c r="D19"/>
  <c r="F19" s="1"/>
  <c r="C19"/>
  <c r="E19" s="1"/>
  <c r="AG18"/>
  <c r="AE18"/>
  <c r="AD18"/>
  <c r="AC18"/>
  <c r="Z18"/>
  <c r="Y18"/>
  <c r="R18"/>
  <c r="Q18"/>
  <c r="N18"/>
  <c r="M18"/>
  <c r="H18"/>
  <c r="I18" s="1"/>
  <c r="G18"/>
  <c r="D18"/>
  <c r="E18" s="1"/>
  <c r="C18"/>
  <c r="AE17"/>
  <c r="AG17" s="1"/>
  <c r="AD17"/>
  <c r="AC17"/>
  <c r="Z17"/>
  <c r="Y17"/>
  <c r="R17"/>
  <c r="Q17"/>
  <c r="N17"/>
  <c r="M17"/>
  <c r="H17"/>
  <c r="J17" s="1"/>
  <c r="G17"/>
  <c r="I17" s="1"/>
  <c r="D17"/>
  <c r="F17" s="1"/>
  <c r="C17"/>
  <c r="E17" s="1"/>
  <c r="AF16"/>
  <c r="AH16" s="1"/>
  <c r="AE16"/>
  <c r="AD16"/>
  <c r="AC16"/>
  <c r="Z16"/>
  <c r="Y16"/>
  <c r="R16"/>
  <c r="Q16"/>
  <c r="N16"/>
  <c r="M16"/>
  <c r="H16"/>
  <c r="J16" s="1"/>
  <c r="G16"/>
  <c r="I16" s="1"/>
  <c r="D16"/>
  <c r="F16" s="1"/>
  <c r="C16"/>
  <c r="E16" s="1"/>
  <c r="AF15"/>
  <c r="AH15" s="1"/>
  <c r="AE15"/>
  <c r="AD15"/>
  <c r="AC15"/>
  <c r="Z15"/>
  <c r="Y15"/>
  <c r="R15"/>
  <c r="Q15"/>
  <c r="N15"/>
  <c r="M15"/>
  <c r="H15"/>
  <c r="J15" s="1"/>
  <c r="G15"/>
  <c r="I15" s="1"/>
  <c r="D15"/>
  <c r="F15" s="1"/>
  <c r="C15"/>
  <c r="E15" s="1"/>
  <c r="AF14"/>
  <c r="AH14" s="1"/>
  <c r="AE14"/>
  <c r="AD14"/>
  <c r="AC14"/>
  <c r="Z14"/>
  <c r="Y14"/>
  <c r="R14"/>
  <c r="Q14"/>
  <c r="N14"/>
  <c r="M14"/>
  <c r="H14"/>
  <c r="J14" s="1"/>
  <c r="G14"/>
  <c r="I14" s="1"/>
  <c r="D14"/>
  <c r="F14" s="1"/>
  <c r="C14"/>
  <c r="E14" s="1"/>
  <c r="AF13"/>
  <c r="AH13" s="1"/>
  <c r="AE13"/>
  <c r="AD13"/>
  <c r="AC13"/>
  <c r="Z13"/>
  <c r="Y13"/>
  <c r="R13"/>
  <c r="Q13"/>
  <c r="N13"/>
  <c r="M13"/>
  <c r="H13"/>
  <c r="J13" s="1"/>
  <c r="G13"/>
  <c r="I13" s="1"/>
  <c r="D13"/>
  <c r="F13" s="1"/>
  <c r="C13"/>
  <c r="E13" s="1"/>
  <c r="AF12"/>
  <c r="AH12" s="1"/>
  <c r="AE12"/>
  <c r="AC12"/>
  <c r="AB12"/>
  <c r="AB74" s="1"/>
  <c r="X12"/>
  <c r="X74" s="1"/>
  <c r="R12"/>
  <c r="Q12"/>
  <c r="N12"/>
  <c r="M12"/>
  <c r="H12"/>
  <c r="J12" s="1"/>
  <c r="G12"/>
  <c r="I12" s="1"/>
  <c r="C12"/>
  <c r="AF11"/>
  <c r="AH11" s="1"/>
  <c r="AE11"/>
  <c r="AE74" s="1"/>
  <c r="AE115" s="1"/>
  <c r="AD11"/>
  <c r="AC11"/>
  <c r="Z11"/>
  <c r="Y11"/>
  <c r="R11"/>
  <c r="Q11"/>
  <c r="N11"/>
  <c r="M11"/>
  <c r="H11"/>
  <c r="J11" s="1"/>
  <c r="G11"/>
  <c r="I11" s="1"/>
  <c r="D11"/>
  <c r="F11" s="1"/>
  <c r="C11"/>
  <c r="E11" s="1"/>
  <c r="AG10"/>
  <c r="AF10"/>
  <c r="AF74" s="1"/>
  <c r="AD10"/>
  <c r="AC10"/>
  <c r="Z10"/>
  <c r="Y10"/>
  <c r="R10"/>
  <c r="Q10"/>
  <c r="N10"/>
  <c r="M10"/>
  <c r="H10"/>
  <c r="G10"/>
  <c r="D10"/>
  <c r="C10"/>
  <c r="E36" i="1"/>
  <c r="E35"/>
  <c r="E34"/>
  <c r="D34"/>
  <c r="E33"/>
  <c r="D33"/>
  <c r="E32"/>
  <c r="D32"/>
  <c r="C31"/>
  <c r="B31"/>
  <c r="E30"/>
  <c r="D30"/>
  <c r="E29"/>
  <c r="D29"/>
  <c r="E28"/>
  <c r="D28"/>
  <c r="E27"/>
  <c r="D27"/>
  <c r="E26"/>
  <c r="D26"/>
  <c r="E25"/>
  <c r="D25"/>
  <c r="E24"/>
  <c r="D24"/>
  <c r="C23"/>
  <c r="D23" s="1"/>
  <c r="E22"/>
  <c r="D22"/>
  <c r="E21"/>
  <c r="D21"/>
  <c r="C20"/>
  <c r="E20" s="1"/>
  <c r="B20"/>
  <c r="E19"/>
  <c r="E18"/>
  <c r="D18"/>
  <c r="E17"/>
  <c r="D17"/>
  <c r="E16"/>
  <c r="D16"/>
  <c r="E15"/>
  <c r="D15"/>
  <c r="E14"/>
  <c r="D14"/>
  <c r="E13"/>
  <c r="D13"/>
  <c r="E12"/>
  <c r="D12"/>
  <c r="E11"/>
  <c r="D11"/>
  <c r="B10"/>
  <c r="C53" i="5"/>
  <c r="AK50"/>
  <c r="AK49"/>
  <c r="AK48"/>
  <c r="AK47"/>
  <c r="AK46"/>
  <c r="AK45"/>
  <c r="AE44"/>
  <c r="AE53" s="1"/>
  <c r="AD44"/>
  <c r="AD53" s="1"/>
  <c r="AC44"/>
  <c r="AC53" s="1"/>
  <c r="AB44"/>
  <c r="AB53" s="1"/>
  <c r="AA44"/>
  <c r="AA53" s="1"/>
  <c r="Z44"/>
  <c r="Z53" s="1"/>
  <c r="Y44"/>
  <c r="Y53" s="1"/>
  <c r="X44"/>
  <c r="X53" s="1"/>
  <c r="W44"/>
  <c r="W53" s="1"/>
  <c r="V44"/>
  <c r="V53" s="1"/>
  <c r="U44"/>
  <c r="U53" s="1"/>
  <c r="T44"/>
  <c r="T53" s="1"/>
  <c r="S44"/>
  <c r="S53" s="1"/>
  <c r="R44"/>
  <c r="R53" s="1"/>
  <c r="Q44"/>
  <c r="Q53" s="1"/>
  <c r="P44"/>
  <c r="P53" s="1"/>
  <c r="O44"/>
  <c r="O53" s="1"/>
  <c r="N44"/>
  <c r="N53" s="1"/>
  <c r="M44"/>
  <c r="M53" s="1"/>
  <c r="L44"/>
  <c r="L53" s="1"/>
  <c r="K44"/>
  <c r="K53" s="1"/>
  <c r="J44"/>
  <c r="J53" s="1"/>
  <c r="I44"/>
  <c r="AJ43"/>
  <c r="AK43" s="1"/>
  <c r="AG43"/>
  <c r="AH43" s="1"/>
  <c r="H43"/>
  <c r="G43"/>
  <c r="F43"/>
  <c r="E43"/>
  <c r="D43"/>
  <c r="C43"/>
  <c r="AJ42"/>
  <c r="AK42" s="1"/>
  <c r="AG42"/>
  <c r="AH42" s="1"/>
  <c r="H42"/>
  <c r="G42"/>
  <c r="F42"/>
  <c r="E42"/>
  <c r="D42"/>
  <c r="C42"/>
  <c r="AJ41"/>
  <c r="AK41" s="1"/>
  <c r="AG41"/>
  <c r="AH41" s="1"/>
  <c r="H41"/>
  <c r="G41"/>
  <c r="F41"/>
  <c r="E41"/>
  <c r="D41"/>
  <c r="C41"/>
  <c r="AJ40"/>
  <c r="AK40" s="1"/>
  <c r="AG40"/>
  <c r="AH40" s="1"/>
  <c r="H40"/>
  <c r="G40"/>
  <c r="F40"/>
  <c r="E40"/>
  <c r="D40"/>
  <c r="C40"/>
  <c r="AJ39"/>
  <c r="AK39" s="1"/>
  <c r="AG39"/>
  <c r="AH39" s="1"/>
  <c r="H39"/>
  <c r="G39"/>
  <c r="F39"/>
  <c r="E39"/>
  <c r="D39"/>
  <c r="C39"/>
  <c r="AJ38"/>
  <c r="AK38" s="1"/>
  <c r="AG38"/>
  <c r="AH38" s="1"/>
  <c r="H38"/>
  <c r="G38"/>
  <c r="F38"/>
  <c r="E38"/>
  <c r="D38"/>
  <c r="C38"/>
  <c r="AJ37"/>
  <c r="AK37" s="1"/>
  <c r="AG37"/>
  <c r="AH37" s="1"/>
  <c r="H37"/>
  <c r="G37"/>
  <c r="F37"/>
  <c r="E37"/>
  <c r="D37"/>
  <c r="C37"/>
  <c r="AJ36"/>
  <c r="AK36" s="1"/>
  <c r="AG36"/>
  <c r="AH36" s="1"/>
  <c r="H36"/>
  <c r="G36"/>
  <c r="F36"/>
  <c r="E36"/>
  <c r="D36"/>
  <c r="C36"/>
  <c r="AJ35"/>
  <c r="AK35" s="1"/>
  <c r="AG35"/>
  <c r="AH35" s="1"/>
  <c r="H35"/>
  <c r="G35"/>
  <c r="F35"/>
  <c r="E35"/>
  <c r="D35"/>
  <c r="C35"/>
  <c r="AJ34"/>
  <c r="AK34" s="1"/>
  <c r="AG34"/>
  <c r="AH34" s="1"/>
  <c r="H34"/>
  <c r="G34"/>
  <c r="F34"/>
  <c r="E34"/>
  <c r="D34"/>
  <c r="C34"/>
  <c r="AJ33"/>
  <c r="AK33" s="1"/>
  <c r="AI33"/>
  <c r="AH33"/>
  <c r="AG33"/>
  <c r="H33"/>
  <c r="G33"/>
  <c r="F33"/>
  <c r="E33"/>
  <c r="D33"/>
  <c r="C33"/>
  <c r="AJ32"/>
  <c r="AK32" s="1"/>
  <c r="AH32"/>
  <c r="AG32"/>
  <c r="H32"/>
  <c r="G32"/>
  <c r="F32"/>
  <c r="E32"/>
  <c r="D32"/>
  <c r="C32"/>
  <c r="AJ31"/>
  <c r="AK31" s="1"/>
  <c r="AG31"/>
  <c r="AH31" s="1"/>
  <c r="H31"/>
  <c r="G31"/>
  <c r="F31"/>
  <c r="E31"/>
  <c r="D31"/>
  <c r="C31"/>
  <c r="AF30"/>
  <c r="AJ30" s="1"/>
  <c r="AK30" s="1"/>
  <c r="H30"/>
  <c r="G30"/>
  <c r="F30"/>
  <c r="E30"/>
  <c r="D30"/>
  <c r="C30"/>
  <c r="AF29"/>
  <c r="AJ29" s="1"/>
  <c r="AK29" s="1"/>
  <c r="H29"/>
  <c r="G29"/>
  <c r="F29"/>
  <c r="E29"/>
  <c r="D29"/>
  <c r="C29"/>
  <c r="AJ28"/>
  <c r="AK28" s="1"/>
  <c r="AG28"/>
  <c r="AH28" s="1"/>
  <c r="H28"/>
  <c r="G28"/>
  <c r="F28"/>
  <c r="E28"/>
  <c r="D28"/>
  <c r="C28"/>
  <c r="AF27"/>
  <c r="AJ27" s="1"/>
  <c r="AK27" s="1"/>
  <c r="H27"/>
  <c r="G27"/>
  <c r="F27"/>
  <c r="E27"/>
  <c r="D27"/>
  <c r="C27"/>
  <c r="AF26"/>
  <c r="AJ26" s="1"/>
  <c r="AK26" s="1"/>
  <c r="H26"/>
  <c r="G26"/>
  <c r="F26"/>
  <c r="E26"/>
  <c r="D26"/>
  <c r="C26"/>
  <c r="AF25"/>
  <c r="AJ25" s="1"/>
  <c r="AK25" s="1"/>
  <c r="H25"/>
  <c r="G25"/>
  <c r="F25"/>
  <c r="E25"/>
  <c r="D25"/>
  <c r="C25"/>
  <c r="AF24"/>
  <c r="AJ24" s="1"/>
  <c r="AK24" s="1"/>
  <c r="H24"/>
  <c r="G24"/>
  <c r="F24"/>
  <c r="E24"/>
  <c r="D24"/>
  <c r="C24"/>
  <c r="AF23"/>
  <c r="AJ23" s="1"/>
  <c r="AK23" s="1"/>
  <c r="H23"/>
  <c r="G23"/>
  <c r="F23"/>
  <c r="E23"/>
  <c r="D23"/>
  <c r="C23"/>
  <c r="AF22"/>
  <c r="AJ22" s="1"/>
  <c r="AK22" s="1"/>
  <c r="H22"/>
  <c r="G22"/>
  <c r="F22"/>
  <c r="E22"/>
  <c r="D22"/>
  <c r="C22"/>
  <c r="AJ21"/>
  <c r="AK21" s="1"/>
  <c r="AG21"/>
  <c r="AH21" s="1"/>
  <c r="H21"/>
  <c r="G21"/>
  <c r="F21"/>
  <c r="E21"/>
  <c r="D21"/>
  <c r="C21"/>
  <c r="AF20"/>
  <c r="AJ20" s="1"/>
  <c r="AK20" s="1"/>
  <c r="H20"/>
  <c r="G20"/>
  <c r="F20"/>
  <c r="E20"/>
  <c r="D20"/>
  <c r="C20"/>
  <c r="AF19"/>
  <c r="AJ19" s="1"/>
  <c r="AK19" s="1"/>
  <c r="H19"/>
  <c r="G19"/>
  <c r="F19"/>
  <c r="E19"/>
  <c r="D19"/>
  <c r="C19"/>
  <c r="AF18"/>
  <c r="AJ18" s="1"/>
  <c r="AK18" s="1"/>
  <c r="H18"/>
  <c r="G18"/>
  <c r="F18"/>
  <c r="E18"/>
  <c r="D18"/>
  <c r="C18"/>
  <c r="AF17"/>
  <c r="AJ17" s="1"/>
  <c r="AK17" s="1"/>
  <c r="H17"/>
  <c r="G17"/>
  <c r="F17"/>
  <c r="E17"/>
  <c r="D17"/>
  <c r="C17"/>
  <c r="AF16"/>
  <c r="AJ16" s="1"/>
  <c r="AK16" s="1"/>
  <c r="H16"/>
  <c r="G16"/>
  <c r="F16"/>
  <c r="E16"/>
  <c r="D16"/>
  <c r="C16"/>
  <c r="AF15"/>
  <c r="AJ15" s="1"/>
  <c r="AK15" s="1"/>
  <c r="H15"/>
  <c r="G15"/>
  <c r="F15"/>
  <c r="E15"/>
  <c r="D15"/>
  <c r="C15"/>
  <c r="AF14"/>
  <c r="AJ14" s="1"/>
  <c r="AK14" s="1"/>
  <c r="H14"/>
  <c r="G14"/>
  <c r="F14"/>
  <c r="E14"/>
  <c r="D14"/>
  <c r="C14"/>
  <c r="AF13"/>
  <c r="AJ13" s="1"/>
  <c r="AK13" s="1"/>
  <c r="H13"/>
  <c r="G13"/>
  <c r="F13"/>
  <c r="E13"/>
  <c r="D13"/>
  <c r="C13"/>
  <c r="AF12"/>
  <c r="AJ12" s="1"/>
  <c r="AK12" s="1"/>
  <c r="H12"/>
  <c r="G12"/>
  <c r="F12"/>
  <c r="E12"/>
  <c r="D12"/>
  <c r="C12"/>
  <c r="AF11"/>
  <c r="AF44" s="1"/>
  <c r="AF53" s="1"/>
  <c r="H11"/>
  <c r="H53" s="1"/>
  <c r="G11"/>
  <c r="G53" s="1"/>
  <c r="F11"/>
  <c r="F53" s="1"/>
  <c r="E11"/>
  <c r="E53" s="1"/>
  <c r="D11"/>
  <c r="D53" s="1"/>
  <c r="C11"/>
  <c r="H28" i="4"/>
  <c r="H27"/>
  <c r="F27"/>
  <c r="E27"/>
  <c r="L26"/>
  <c r="K26"/>
  <c r="I26"/>
  <c r="D26"/>
  <c r="L25"/>
  <c r="K25"/>
  <c r="J24"/>
  <c r="J27" s="1"/>
  <c r="I24"/>
  <c r="K24" s="1"/>
  <c r="G24"/>
  <c r="G27" s="1"/>
  <c r="D24"/>
  <c r="D27" s="1"/>
  <c r="L23"/>
  <c r="K23"/>
  <c r="L21"/>
  <c r="K21"/>
  <c r="L20"/>
  <c r="K20"/>
  <c r="L19"/>
  <c r="K19"/>
  <c r="K18"/>
  <c r="L17"/>
  <c r="K17"/>
  <c r="K15"/>
  <c r="L14"/>
  <c r="K14"/>
  <c r="L13"/>
  <c r="L12"/>
  <c r="K12"/>
  <c r="L11"/>
  <c r="K11"/>
  <c r="L9"/>
  <c r="K27"/>
  <c r="F84" i="3"/>
  <c r="F76"/>
  <c r="H75"/>
  <c r="K75" s="1"/>
  <c r="G75"/>
  <c r="E75"/>
  <c r="D75"/>
  <c r="C75"/>
  <c r="H74"/>
  <c r="L74" s="1"/>
  <c r="G74"/>
  <c r="I74" s="1"/>
  <c r="E74"/>
  <c r="D74"/>
  <c r="C74"/>
  <c r="H73"/>
  <c r="L73" s="1"/>
  <c r="G73"/>
  <c r="E73"/>
  <c r="D73"/>
  <c r="C73"/>
  <c r="H72"/>
  <c r="L72" s="1"/>
  <c r="G72"/>
  <c r="E72"/>
  <c r="D72"/>
  <c r="C72"/>
  <c r="H71"/>
  <c r="L71" s="1"/>
  <c r="G71"/>
  <c r="E71"/>
  <c r="D71"/>
  <c r="C71"/>
  <c r="H70"/>
  <c r="L70" s="1"/>
  <c r="G70"/>
  <c r="E70"/>
  <c r="D70"/>
  <c r="C70"/>
  <c r="H69"/>
  <c r="L69" s="1"/>
  <c r="G69"/>
  <c r="E69"/>
  <c r="D69"/>
  <c r="C69"/>
  <c r="H68"/>
  <c r="L68" s="1"/>
  <c r="G68"/>
  <c r="E68"/>
  <c r="D68"/>
  <c r="C68"/>
  <c r="H67"/>
  <c r="L67" s="1"/>
  <c r="G67"/>
  <c r="E67"/>
  <c r="D67"/>
  <c r="C67"/>
  <c r="H66"/>
  <c r="L66" s="1"/>
  <c r="G66"/>
  <c r="E66"/>
  <c r="D66"/>
  <c r="C66"/>
  <c r="H65"/>
  <c r="L65" s="1"/>
  <c r="G65"/>
  <c r="E65"/>
  <c r="D65"/>
  <c r="C65"/>
  <c r="H64"/>
  <c r="H76" s="1"/>
  <c r="G64"/>
  <c r="E64"/>
  <c r="E76" s="1"/>
  <c r="D64"/>
  <c r="D76" s="1"/>
  <c r="C64"/>
  <c r="C76" s="1"/>
  <c r="F63"/>
  <c r="H62"/>
  <c r="L62" s="1"/>
  <c r="G62"/>
  <c r="E62"/>
  <c r="D62"/>
  <c r="C62"/>
  <c r="H61"/>
  <c r="L61" s="1"/>
  <c r="G61"/>
  <c r="E61"/>
  <c r="D61"/>
  <c r="C61"/>
  <c r="H60"/>
  <c r="L60" s="1"/>
  <c r="G60"/>
  <c r="E60"/>
  <c r="D60"/>
  <c r="C60"/>
  <c r="H59"/>
  <c r="L59" s="1"/>
  <c r="G59"/>
  <c r="E59"/>
  <c r="D59"/>
  <c r="C59"/>
  <c r="H58"/>
  <c r="L58" s="1"/>
  <c r="G58"/>
  <c r="E58"/>
  <c r="D58"/>
  <c r="C58"/>
  <c r="H57"/>
  <c r="L57" s="1"/>
  <c r="G57"/>
  <c r="E57"/>
  <c r="D57"/>
  <c r="C57"/>
  <c r="H56"/>
  <c r="L56" s="1"/>
  <c r="G56"/>
  <c r="E56"/>
  <c r="D56"/>
  <c r="C56"/>
  <c r="H55"/>
  <c r="L55" s="1"/>
  <c r="G55"/>
  <c r="E55"/>
  <c r="D55"/>
  <c r="C55"/>
  <c r="H54"/>
  <c r="L54" s="1"/>
  <c r="G54"/>
  <c r="E54"/>
  <c r="D54"/>
  <c r="C54"/>
  <c r="H53"/>
  <c r="L53" s="1"/>
  <c r="G53"/>
  <c r="E53"/>
  <c r="D53"/>
  <c r="C53"/>
  <c r="H52"/>
  <c r="L52" s="1"/>
  <c r="G52"/>
  <c r="E52"/>
  <c r="D52"/>
  <c r="C52"/>
  <c r="H51"/>
  <c r="L51" s="1"/>
  <c r="G51"/>
  <c r="E51"/>
  <c r="D51"/>
  <c r="C51"/>
  <c r="H50"/>
  <c r="L50" s="1"/>
  <c r="G50"/>
  <c r="E50"/>
  <c r="D50"/>
  <c r="C50"/>
  <c r="H49"/>
  <c r="L49" s="1"/>
  <c r="G49"/>
  <c r="E49"/>
  <c r="D49"/>
  <c r="C49"/>
  <c r="H48"/>
  <c r="L48" s="1"/>
  <c r="G48"/>
  <c r="E48"/>
  <c r="D48"/>
  <c r="C48"/>
  <c r="H47"/>
  <c r="L47" s="1"/>
  <c r="G47"/>
  <c r="G63" s="1"/>
  <c r="E47"/>
  <c r="E63" s="1"/>
  <c r="D47"/>
  <c r="D63" s="1"/>
  <c r="C47"/>
  <c r="C63" s="1"/>
  <c r="F46"/>
  <c r="H45"/>
  <c r="K45" s="1"/>
  <c r="G45"/>
  <c r="E45"/>
  <c r="D45"/>
  <c r="C45"/>
  <c r="H44"/>
  <c r="K44" s="1"/>
  <c r="G44"/>
  <c r="E44"/>
  <c r="D44"/>
  <c r="C44"/>
  <c r="H43"/>
  <c r="K43" s="1"/>
  <c r="G43"/>
  <c r="E43"/>
  <c r="D43"/>
  <c r="C43"/>
  <c r="H42"/>
  <c r="K42" s="1"/>
  <c r="G42"/>
  <c r="E42"/>
  <c r="D42"/>
  <c r="C42"/>
  <c r="H41"/>
  <c r="K41" s="1"/>
  <c r="G41"/>
  <c r="E41"/>
  <c r="D41"/>
  <c r="C41"/>
  <c r="H40"/>
  <c r="K40" s="1"/>
  <c r="G40"/>
  <c r="E40"/>
  <c r="D40"/>
  <c r="C40"/>
  <c r="H39"/>
  <c r="K39" s="1"/>
  <c r="G39"/>
  <c r="E39"/>
  <c r="D39"/>
  <c r="C39"/>
  <c r="H38"/>
  <c r="K38" s="1"/>
  <c r="G38"/>
  <c r="E38"/>
  <c r="D38"/>
  <c r="C38"/>
  <c r="H37"/>
  <c r="K37" s="1"/>
  <c r="G37"/>
  <c r="E37"/>
  <c r="D37"/>
  <c r="C37"/>
  <c r="H36"/>
  <c r="K36" s="1"/>
  <c r="G36"/>
  <c r="E36"/>
  <c r="D36"/>
  <c r="C36"/>
  <c r="H35"/>
  <c r="K35" s="1"/>
  <c r="G35"/>
  <c r="E35"/>
  <c r="D35"/>
  <c r="C35"/>
  <c r="H34"/>
  <c r="K34" s="1"/>
  <c r="G34"/>
  <c r="E34"/>
  <c r="D34"/>
  <c r="C34"/>
  <c r="H33"/>
  <c r="K33" s="1"/>
  <c r="G33"/>
  <c r="E33"/>
  <c r="D33"/>
  <c r="C33"/>
  <c r="H32"/>
  <c r="K32" s="1"/>
  <c r="G32"/>
  <c r="E32"/>
  <c r="D32"/>
  <c r="C32"/>
  <c r="H31"/>
  <c r="K31" s="1"/>
  <c r="G31"/>
  <c r="E31"/>
  <c r="D31"/>
  <c r="C31"/>
  <c r="H30"/>
  <c r="K30" s="1"/>
  <c r="G30"/>
  <c r="E30"/>
  <c r="D30"/>
  <c r="C30"/>
  <c r="H29"/>
  <c r="K29" s="1"/>
  <c r="G29"/>
  <c r="E29"/>
  <c r="D29"/>
  <c r="C29"/>
  <c r="H28"/>
  <c r="K28" s="1"/>
  <c r="G28"/>
  <c r="E28"/>
  <c r="D28"/>
  <c r="C28"/>
  <c r="H27"/>
  <c r="K27" s="1"/>
  <c r="G27"/>
  <c r="E27"/>
  <c r="D27"/>
  <c r="C27"/>
  <c r="H26"/>
  <c r="K26" s="1"/>
  <c r="G26"/>
  <c r="E26"/>
  <c r="D26"/>
  <c r="C26"/>
  <c r="H25"/>
  <c r="K25" s="1"/>
  <c r="G25"/>
  <c r="E25"/>
  <c r="D25"/>
  <c r="C25"/>
  <c r="H24"/>
  <c r="K24" s="1"/>
  <c r="G24"/>
  <c r="E24"/>
  <c r="D24"/>
  <c r="C24"/>
  <c r="H23"/>
  <c r="L23" s="1"/>
  <c r="G23"/>
  <c r="I23" s="1"/>
  <c r="E23"/>
  <c r="D23"/>
  <c r="C23"/>
  <c r="H22"/>
  <c r="L22" s="1"/>
  <c r="G22"/>
  <c r="E22"/>
  <c r="D22"/>
  <c r="C22"/>
  <c r="H21"/>
  <c r="H46" s="1"/>
  <c r="G21"/>
  <c r="G46" s="1"/>
  <c r="E21"/>
  <c r="E46" s="1"/>
  <c r="D21"/>
  <c r="D46" s="1"/>
  <c r="C21"/>
  <c r="C46" s="1"/>
  <c r="F20"/>
  <c r="F77" s="1"/>
  <c r="F85" s="1"/>
  <c r="H19"/>
  <c r="K19" s="1"/>
  <c r="G19"/>
  <c r="E19"/>
  <c r="D19"/>
  <c r="C19"/>
  <c r="H18"/>
  <c r="K18" s="1"/>
  <c r="G18"/>
  <c r="E18"/>
  <c r="D18"/>
  <c r="C18"/>
  <c r="H17"/>
  <c r="K17" s="1"/>
  <c r="G17"/>
  <c r="E17"/>
  <c r="D17"/>
  <c r="C17"/>
  <c r="H16"/>
  <c r="K16" s="1"/>
  <c r="G16"/>
  <c r="E16"/>
  <c r="D16"/>
  <c r="C16"/>
  <c r="H15"/>
  <c r="K15" s="1"/>
  <c r="G15"/>
  <c r="E15"/>
  <c r="D15"/>
  <c r="C15"/>
  <c r="H14"/>
  <c r="K14" s="1"/>
  <c r="G14"/>
  <c r="E14"/>
  <c r="D14"/>
  <c r="C14"/>
  <c r="H13"/>
  <c r="K13" s="1"/>
  <c r="G13"/>
  <c r="E13"/>
  <c r="D13"/>
  <c r="C13"/>
  <c r="H12"/>
  <c r="K12" s="1"/>
  <c r="G12"/>
  <c r="E12"/>
  <c r="D12"/>
  <c r="C12"/>
  <c r="H11"/>
  <c r="K11" s="1"/>
  <c r="G11"/>
  <c r="E11"/>
  <c r="D11"/>
  <c r="C11"/>
  <c r="H10"/>
  <c r="K10" s="1"/>
  <c r="G10"/>
  <c r="E10"/>
  <c r="D10"/>
  <c r="C10"/>
  <c r="H9"/>
  <c r="H20" s="1"/>
  <c r="G9"/>
  <c r="G20" s="1"/>
  <c r="E9"/>
  <c r="E20" s="1"/>
  <c r="E77" s="1"/>
  <c r="E85" s="1"/>
  <c r="D9"/>
  <c r="D20" s="1"/>
  <c r="D77" s="1"/>
  <c r="D85" s="1"/>
  <c r="C9"/>
  <c r="C20" s="1"/>
  <c r="C77" s="1"/>
  <c r="C85" s="1"/>
  <c r="B37" i="1" l="1"/>
  <c r="D31"/>
  <c r="F9" i="7"/>
  <c r="F10"/>
  <c r="F11"/>
  <c r="F12"/>
  <c r="F13"/>
  <c r="F14"/>
  <c r="F15"/>
  <c r="F16"/>
  <c r="F17"/>
  <c r="F18"/>
  <c r="F19"/>
  <c r="D20"/>
  <c r="E20" s="1"/>
  <c r="Y74" i="6"/>
  <c r="X115"/>
  <c r="Y115" s="1"/>
  <c r="W115"/>
  <c r="F10"/>
  <c r="J10"/>
  <c r="AG11"/>
  <c r="Z12"/>
  <c r="Z74" s="1"/>
  <c r="Z115" s="1"/>
  <c r="AG12"/>
  <c r="AG13"/>
  <c r="AG14"/>
  <c r="AG15"/>
  <c r="AG16"/>
  <c r="AH17"/>
  <c r="F18"/>
  <c r="J18"/>
  <c r="AG20"/>
  <c r="AG21"/>
  <c r="F22"/>
  <c r="J22"/>
  <c r="AG23"/>
  <c r="AG24"/>
  <c r="AG25"/>
  <c r="AG26"/>
  <c r="AG27"/>
  <c r="AG28"/>
  <c r="C116"/>
  <c r="N29"/>
  <c r="N74" s="1"/>
  <c r="N115" s="1"/>
  <c r="Z29"/>
  <c r="AG29"/>
  <c r="AG30"/>
  <c r="AG31"/>
  <c r="AG32"/>
  <c r="N33"/>
  <c r="Z33"/>
  <c r="AD33"/>
  <c r="AH33"/>
  <c r="AG34"/>
  <c r="AG35"/>
  <c r="AG36"/>
  <c r="AG37"/>
  <c r="F39"/>
  <c r="J39"/>
  <c r="Z39"/>
  <c r="AD39"/>
  <c r="AH39"/>
  <c r="F40"/>
  <c r="J40"/>
  <c r="AH40"/>
  <c r="AG42"/>
  <c r="AK74"/>
  <c r="AG74"/>
  <c r="AF115"/>
  <c r="AG115" s="1"/>
  <c r="AC74"/>
  <c r="AB115"/>
  <c r="AC115" s="1"/>
  <c r="E10"/>
  <c r="I10"/>
  <c r="AH10"/>
  <c r="D12"/>
  <c r="Y12"/>
  <c r="AD12"/>
  <c r="AD74" s="1"/>
  <c r="AD115" s="1"/>
  <c r="AH18"/>
  <c r="R29"/>
  <c r="R74" s="1"/>
  <c r="R115" s="1"/>
  <c r="Y29"/>
  <c r="AD29"/>
  <c r="D33"/>
  <c r="H33"/>
  <c r="J41"/>
  <c r="F42"/>
  <c r="AH42"/>
  <c r="M74"/>
  <c r="AG43"/>
  <c r="J44"/>
  <c r="AG44"/>
  <c r="Z45"/>
  <c r="AG45"/>
  <c r="AG46"/>
  <c r="F47"/>
  <c r="J47"/>
  <c r="F48"/>
  <c r="J48"/>
  <c r="F49"/>
  <c r="J49"/>
  <c r="AH52"/>
  <c r="F53"/>
  <c r="J53"/>
  <c r="AH53"/>
  <c r="F54"/>
  <c r="J54"/>
  <c r="AH54"/>
  <c r="F55"/>
  <c r="J55"/>
  <c r="Z55"/>
  <c r="AD55"/>
  <c r="F56"/>
  <c r="J56"/>
  <c r="F57"/>
  <c r="R57"/>
  <c r="Z57"/>
  <c r="AD57"/>
  <c r="F58"/>
  <c r="R58"/>
  <c r="Z58"/>
  <c r="AD58"/>
  <c r="F60"/>
  <c r="J60"/>
  <c r="F61"/>
  <c r="J61"/>
  <c r="F62"/>
  <c r="R62"/>
  <c r="Z62"/>
  <c r="AD62"/>
  <c r="AH62"/>
  <c r="F63"/>
  <c r="R63"/>
  <c r="Z63"/>
  <c r="AD63"/>
  <c r="AH63"/>
  <c r="F64"/>
  <c r="R64"/>
  <c r="Z64"/>
  <c r="AD64"/>
  <c r="AH64"/>
  <c r="F65"/>
  <c r="R65"/>
  <c r="Z65"/>
  <c r="AD65"/>
  <c r="AH65"/>
  <c r="F66"/>
  <c r="R66"/>
  <c r="Z66"/>
  <c r="AD66"/>
  <c r="AH66"/>
  <c r="F67"/>
  <c r="R67"/>
  <c r="Z67"/>
  <c r="AD67"/>
  <c r="N68"/>
  <c r="AG68"/>
  <c r="N69"/>
  <c r="AG69"/>
  <c r="E70"/>
  <c r="I70"/>
  <c r="Q70"/>
  <c r="Y70"/>
  <c r="AC70"/>
  <c r="AG70"/>
  <c r="M71"/>
  <c r="M72"/>
  <c r="Z72"/>
  <c r="AH72"/>
  <c r="F73"/>
  <c r="J73"/>
  <c r="M73"/>
  <c r="R73"/>
  <c r="Z73"/>
  <c r="AD73"/>
  <c r="AH73"/>
  <c r="P74"/>
  <c r="F75"/>
  <c r="F76"/>
  <c r="F77"/>
  <c r="Z85"/>
  <c r="F86"/>
  <c r="F87"/>
  <c r="E88"/>
  <c r="F89"/>
  <c r="E90"/>
  <c r="F91"/>
  <c r="E94"/>
  <c r="F95"/>
  <c r="E96"/>
  <c r="F97"/>
  <c r="E98"/>
  <c r="F99"/>
  <c r="E100"/>
  <c r="F101"/>
  <c r="F104"/>
  <c r="F105"/>
  <c r="E106"/>
  <c r="F107"/>
  <c r="F108"/>
  <c r="E109"/>
  <c r="F110"/>
  <c r="E112"/>
  <c r="F113"/>
  <c r="L115"/>
  <c r="AJ115"/>
  <c r="AK115" s="1"/>
  <c r="C44"/>
  <c r="E44" s="1"/>
  <c r="D45"/>
  <c r="D52"/>
  <c r="G57"/>
  <c r="J57" s="1"/>
  <c r="G58"/>
  <c r="I58" s="1"/>
  <c r="AH58"/>
  <c r="G62"/>
  <c r="I62" s="1"/>
  <c r="G63"/>
  <c r="J63" s="1"/>
  <c r="G64"/>
  <c r="I64" s="1"/>
  <c r="G65"/>
  <c r="J65" s="1"/>
  <c r="G66"/>
  <c r="I66" s="1"/>
  <c r="G67"/>
  <c r="J67" s="1"/>
  <c r="D85"/>
  <c r="E10" i="1"/>
  <c r="D20"/>
  <c r="E23"/>
  <c r="E31"/>
  <c r="C37"/>
  <c r="D10"/>
  <c r="AG11" i="5"/>
  <c r="AI11"/>
  <c r="AG12"/>
  <c r="AH12" s="1"/>
  <c r="AI12"/>
  <c r="AG13"/>
  <c r="AH13" s="1"/>
  <c r="AI13"/>
  <c r="AG14"/>
  <c r="AH14" s="1"/>
  <c r="AI14"/>
  <c r="AG15"/>
  <c r="AH15" s="1"/>
  <c r="AI15"/>
  <c r="AG16"/>
  <c r="AH16" s="1"/>
  <c r="AI16"/>
  <c r="AG17"/>
  <c r="AH17" s="1"/>
  <c r="AI17"/>
  <c r="AG18"/>
  <c r="AH18" s="1"/>
  <c r="AI18"/>
  <c r="AG19"/>
  <c r="AH19" s="1"/>
  <c r="AI19"/>
  <c r="AG20"/>
  <c r="AH20" s="1"/>
  <c r="AI20"/>
  <c r="AG22"/>
  <c r="AH22" s="1"/>
  <c r="AI22"/>
  <c r="AG23"/>
  <c r="AH23" s="1"/>
  <c r="AI23"/>
  <c r="AG24"/>
  <c r="AH24" s="1"/>
  <c r="AI24"/>
  <c r="AG25"/>
  <c r="AH25" s="1"/>
  <c r="AI25"/>
  <c r="AG26"/>
  <c r="AH26" s="1"/>
  <c r="AI26"/>
  <c r="AG27"/>
  <c r="AH27" s="1"/>
  <c r="AI27"/>
  <c r="AG29"/>
  <c r="AH29" s="1"/>
  <c r="AI29"/>
  <c r="AG30"/>
  <c r="AH30" s="1"/>
  <c r="AI30"/>
  <c r="AJ11"/>
  <c r="L27" i="4"/>
  <c r="L24"/>
  <c r="I27"/>
  <c r="K21" i="3"/>
  <c r="I22"/>
  <c r="K22"/>
  <c r="K23"/>
  <c r="K47"/>
  <c r="I48"/>
  <c r="K48"/>
  <c r="I49"/>
  <c r="K49"/>
  <c r="I50"/>
  <c r="K50"/>
  <c r="I51"/>
  <c r="K51"/>
  <c r="I52"/>
  <c r="K52"/>
  <c r="I53"/>
  <c r="K53"/>
  <c r="I54"/>
  <c r="K54"/>
  <c r="I55"/>
  <c r="K55"/>
  <c r="I56"/>
  <c r="K56"/>
  <c r="I57"/>
  <c r="K57"/>
  <c r="I58"/>
  <c r="K58"/>
  <c r="I59"/>
  <c r="K59"/>
  <c r="I60"/>
  <c r="K60"/>
  <c r="I61"/>
  <c r="K61"/>
  <c r="I64"/>
  <c r="K64"/>
  <c r="I65"/>
  <c r="K65"/>
  <c r="I66"/>
  <c r="K66"/>
  <c r="I67"/>
  <c r="K67"/>
  <c r="I68"/>
  <c r="K68"/>
  <c r="I69"/>
  <c r="K69"/>
  <c r="I70"/>
  <c r="K70"/>
  <c r="I71"/>
  <c r="K71"/>
  <c r="I72"/>
  <c r="K72"/>
  <c r="I73"/>
  <c r="K73"/>
  <c r="K74"/>
  <c r="I20"/>
  <c r="Q22"/>
  <c r="N22"/>
  <c r="R22"/>
  <c r="O22"/>
  <c r="M22"/>
  <c r="R23"/>
  <c r="O23"/>
  <c r="M23"/>
  <c r="Q23"/>
  <c r="N23"/>
  <c r="Q47"/>
  <c r="N47"/>
  <c r="L63"/>
  <c r="R47"/>
  <c r="O47"/>
  <c r="M47"/>
  <c r="Q48"/>
  <c r="N48"/>
  <c r="R48"/>
  <c r="O48"/>
  <c r="M48"/>
  <c r="Q49"/>
  <c r="N49"/>
  <c r="R49"/>
  <c r="O49"/>
  <c r="M49"/>
  <c r="Q50"/>
  <c r="N50"/>
  <c r="R50"/>
  <c r="O50"/>
  <c r="M50"/>
  <c r="Q51"/>
  <c r="N51"/>
  <c r="R51"/>
  <c r="O51"/>
  <c r="M51"/>
  <c r="Q52"/>
  <c r="N52"/>
  <c r="R52"/>
  <c r="O52"/>
  <c r="M52"/>
  <c r="Q53"/>
  <c r="N53"/>
  <c r="R53"/>
  <c r="O53"/>
  <c r="M53"/>
  <c r="Q54"/>
  <c r="N54"/>
  <c r="R54"/>
  <c r="O54"/>
  <c r="M54"/>
  <c r="Q55"/>
  <c r="N55"/>
  <c r="R55"/>
  <c r="O55"/>
  <c r="M55"/>
  <c r="Q56"/>
  <c r="N56"/>
  <c r="R56"/>
  <c r="O56"/>
  <c r="M56"/>
  <c r="Q57"/>
  <c r="N57"/>
  <c r="R57"/>
  <c r="O57"/>
  <c r="M57"/>
  <c r="Q58"/>
  <c r="N58"/>
  <c r="R58"/>
  <c r="O58"/>
  <c r="M58"/>
  <c r="Q59"/>
  <c r="N59"/>
  <c r="R59"/>
  <c r="O59"/>
  <c r="M59"/>
  <c r="Q60"/>
  <c r="N60"/>
  <c r="R60"/>
  <c r="O60"/>
  <c r="M60"/>
  <c r="Q61"/>
  <c r="N61"/>
  <c r="R61"/>
  <c r="O61"/>
  <c r="M61"/>
  <c r="Q62"/>
  <c r="N62"/>
  <c r="R62"/>
  <c r="O62"/>
  <c r="M62"/>
  <c r="R65"/>
  <c r="O65"/>
  <c r="M65"/>
  <c r="Q65"/>
  <c r="N65"/>
  <c r="R66"/>
  <c r="O66"/>
  <c r="M66"/>
  <c r="Q66"/>
  <c r="N66"/>
  <c r="R67"/>
  <c r="O67"/>
  <c r="M67"/>
  <c r="Q67"/>
  <c r="N67"/>
  <c r="R68"/>
  <c r="O68"/>
  <c r="M68"/>
  <c r="Q68"/>
  <c r="N68"/>
  <c r="R69"/>
  <c r="O69"/>
  <c r="M69"/>
  <c r="Q69"/>
  <c r="N69"/>
  <c r="R70"/>
  <c r="O70"/>
  <c r="M70"/>
  <c r="Q70"/>
  <c r="N70"/>
  <c r="R71"/>
  <c r="O71"/>
  <c r="M71"/>
  <c r="Q71"/>
  <c r="N71"/>
  <c r="R72"/>
  <c r="O72"/>
  <c r="M72"/>
  <c r="Q72"/>
  <c r="N72"/>
  <c r="R73"/>
  <c r="O73"/>
  <c r="M73"/>
  <c r="Q73"/>
  <c r="N73"/>
  <c r="R74"/>
  <c r="O74"/>
  <c r="M74"/>
  <c r="Q74"/>
  <c r="N74"/>
  <c r="J9"/>
  <c r="L9"/>
  <c r="J10"/>
  <c r="L10"/>
  <c r="J11"/>
  <c r="L11"/>
  <c r="J12"/>
  <c r="L12"/>
  <c r="J13"/>
  <c r="L13"/>
  <c r="J14"/>
  <c r="L14"/>
  <c r="J15"/>
  <c r="L15"/>
  <c r="J16"/>
  <c r="L16"/>
  <c r="J17"/>
  <c r="L17"/>
  <c r="J18"/>
  <c r="L18"/>
  <c r="J19"/>
  <c r="L19"/>
  <c r="I21"/>
  <c r="I9"/>
  <c r="K9"/>
  <c r="K20" s="1"/>
  <c r="I10"/>
  <c r="I11"/>
  <c r="I12"/>
  <c r="I13"/>
  <c r="I14"/>
  <c r="I15"/>
  <c r="I16"/>
  <c r="I17"/>
  <c r="I18"/>
  <c r="I19"/>
  <c r="I46"/>
  <c r="J21"/>
  <c r="L21"/>
  <c r="J22"/>
  <c r="J23"/>
  <c r="J24"/>
  <c r="L24"/>
  <c r="J25"/>
  <c r="L25"/>
  <c r="J26"/>
  <c r="L26"/>
  <c r="J27"/>
  <c r="L27"/>
  <c r="J28"/>
  <c r="L28"/>
  <c r="J29"/>
  <c r="L29"/>
  <c r="J30"/>
  <c r="L30"/>
  <c r="J31"/>
  <c r="L31"/>
  <c r="J32"/>
  <c r="L32"/>
  <c r="J33"/>
  <c r="L33"/>
  <c r="J34"/>
  <c r="L34"/>
  <c r="J35"/>
  <c r="L35"/>
  <c r="J36"/>
  <c r="L36"/>
  <c r="J37"/>
  <c r="L37"/>
  <c r="J38"/>
  <c r="L38"/>
  <c r="J39"/>
  <c r="L39"/>
  <c r="J40"/>
  <c r="L40"/>
  <c r="J41"/>
  <c r="L41"/>
  <c r="J42"/>
  <c r="L42"/>
  <c r="J43"/>
  <c r="L43"/>
  <c r="J44"/>
  <c r="L44"/>
  <c r="J45"/>
  <c r="L45"/>
  <c r="I47"/>
  <c r="I62"/>
  <c r="K62"/>
  <c r="K63" s="1"/>
  <c r="H63"/>
  <c r="I63" s="1"/>
  <c r="J64"/>
  <c r="L64"/>
  <c r="J65"/>
  <c r="J66"/>
  <c r="J67"/>
  <c r="J68"/>
  <c r="J69"/>
  <c r="J70"/>
  <c r="J71"/>
  <c r="J72"/>
  <c r="J73"/>
  <c r="J74"/>
  <c r="J75"/>
  <c r="L75"/>
  <c r="G76"/>
  <c r="I76" s="1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J47"/>
  <c r="J48"/>
  <c r="J49"/>
  <c r="J50"/>
  <c r="J51"/>
  <c r="J52"/>
  <c r="J53"/>
  <c r="J54"/>
  <c r="J55"/>
  <c r="J56"/>
  <c r="J57"/>
  <c r="J58"/>
  <c r="J59"/>
  <c r="J60"/>
  <c r="J61"/>
  <c r="J62"/>
  <c r="I75"/>
  <c r="F20" i="7" l="1"/>
  <c r="F45" i="6"/>
  <c r="E45"/>
  <c r="J33"/>
  <c r="I33"/>
  <c r="F12"/>
  <c r="E12"/>
  <c r="J58"/>
  <c r="I57"/>
  <c r="AH74"/>
  <c r="AH115" s="1"/>
  <c r="G74"/>
  <c r="G115" s="1"/>
  <c r="C74"/>
  <c r="C115" s="1"/>
  <c r="I67"/>
  <c r="I65"/>
  <c r="I63"/>
  <c r="H74"/>
  <c r="D74"/>
  <c r="F85"/>
  <c r="E85"/>
  <c r="F52"/>
  <c r="E52"/>
  <c r="M115"/>
  <c r="Q74"/>
  <c r="P115"/>
  <c r="F33"/>
  <c r="F74" s="1"/>
  <c r="F115" s="1"/>
  <c r="E33"/>
  <c r="J66"/>
  <c r="J64"/>
  <c r="J62"/>
  <c r="F44"/>
  <c r="J74"/>
  <c r="J115" s="1"/>
  <c r="D37" i="1"/>
  <c r="E37"/>
  <c r="AJ44" i="5"/>
  <c r="AJ53" s="1"/>
  <c r="AK11"/>
  <c r="AK44" s="1"/>
  <c r="AK53" s="1"/>
  <c r="AH11"/>
  <c r="AG44"/>
  <c r="AG53" s="1"/>
  <c r="AI44"/>
  <c r="AI53" s="1"/>
  <c r="K76" i="3"/>
  <c r="K46"/>
  <c r="L76"/>
  <c r="R64"/>
  <c r="O64"/>
  <c r="M64"/>
  <c r="Q64"/>
  <c r="N64"/>
  <c r="R44"/>
  <c r="O44"/>
  <c r="M44"/>
  <c r="Q44"/>
  <c r="N44"/>
  <c r="R42"/>
  <c r="O42"/>
  <c r="M42"/>
  <c r="Q42"/>
  <c r="N42"/>
  <c r="R40"/>
  <c r="O40"/>
  <c r="M40"/>
  <c r="Q40"/>
  <c r="N40"/>
  <c r="R38"/>
  <c r="O38"/>
  <c r="M38"/>
  <c r="Q38"/>
  <c r="N38"/>
  <c r="R36"/>
  <c r="O36"/>
  <c r="M36"/>
  <c r="Q36"/>
  <c r="N36"/>
  <c r="L46"/>
  <c r="Q21"/>
  <c r="N21"/>
  <c r="R21"/>
  <c r="O21"/>
  <c r="M21"/>
  <c r="J63"/>
  <c r="J76"/>
  <c r="J20"/>
  <c r="M63"/>
  <c r="G77"/>
  <c r="R75"/>
  <c r="O75"/>
  <c r="M75"/>
  <c r="Q75"/>
  <c r="N75"/>
  <c r="R45"/>
  <c r="O45"/>
  <c r="M45"/>
  <c r="Q45"/>
  <c r="N45"/>
  <c r="R43"/>
  <c r="O43"/>
  <c r="M43"/>
  <c r="Q43"/>
  <c r="N43"/>
  <c r="R41"/>
  <c r="O41"/>
  <c r="M41"/>
  <c r="Q41"/>
  <c r="N41"/>
  <c r="R39"/>
  <c r="O39"/>
  <c r="M39"/>
  <c r="Q39"/>
  <c r="N39"/>
  <c r="R37"/>
  <c r="O37"/>
  <c r="M37"/>
  <c r="Q37"/>
  <c r="N37"/>
  <c r="R35"/>
  <c r="O35"/>
  <c r="M35"/>
  <c r="Q35"/>
  <c r="N35"/>
  <c r="R34"/>
  <c r="O34"/>
  <c r="M34"/>
  <c r="Q34"/>
  <c r="N34"/>
  <c r="R33"/>
  <c r="O33"/>
  <c r="M33"/>
  <c r="Q33"/>
  <c r="N33"/>
  <c r="R32"/>
  <c r="O32"/>
  <c r="M32"/>
  <c r="Q32"/>
  <c r="N32"/>
  <c r="R31"/>
  <c r="O31"/>
  <c r="M31"/>
  <c r="Q31"/>
  <c r="N31"/>
  <c r="R30"/>
  <c r="O30"/>
  <c r="M30"/>
  <c r="Q30"/>
  <c r="N30"/>
  <c r="R29"/>
  <c r="O29"/>
  <c r="M29"/>
  <c r="Q29"/>
  <c r="N29"/>
  <c r="R28"/>
  <c r="O28"/>
  <c r="M28"/>
  <c r="Q28"/>
  <c r="N28"/>
  <c r="R27"/>
  <c r="O27"/>
  <c r="M27"/>
  <c r="Q27"/>
  <c r="N27"/>
  <c r="R26"/>
  <c r="O26"/>
  <c r="M26"/>
  <c r="Q26"/>
  <c r="N26"/>
  <c r="R25"/>
  <c r="O25"/>
  <c r="M25"/>
  <c r="Q25"/>
  <c r="N25"/>
  <c r="R24"/>
  <c r="O24"/>
  <c r="M24"/>
  <c r="Q24"/>
  <c r="N24"/>
  <c r="R19"/>
  <c r="O19"/>
  <c r="M19"/>
  <c r="Q19"/>
  <c r="N19"/>
  <c r="R18"/>
  <c r="O18"/>
  <c r="M18"/>
  <c r="Q18"/>
  <c r="N18"/>
  <c r="R17"/>
  <c r="O17"/>
  <c r="M17"/>
  <c r="Q17"/>
  <c r="N17"/>
  <c r="R16"/>
  <c r="O16"/>
  <c r="M16"/>
  <c r="Q16"/>
  <c r="N16"/>
  <c r="R15"/>
  <c r="O15"/>
  <c r="M15"/>
  <c r="Q15"/>
  <c r="N15"/>
  <c r="R14"/>
  <c r="O14"/>
  <c r="M14"/>
  <c r="Q14"/>
  <c r="N14"/>
  <c r="R13"/>
  <c r="O13"/>
  <c r="M13"/>
  <c r="Q13"/>
  <c r="N13"/>
  <c r="R12"/>
  <c r="O12"/>
  <c r="M12"/>
  <c r="Q12"/>
  <c r="N12"/>
  <c r="R11"/>
  <c r="O11"/>
  <c r="M11"/>
  <c r="Q11"/>
  <c r="N11"/>
  <c r="R10"/>
  <c r="O10"/>
  <c r="M10"/>
  <c r="Q10"/>
  <c r="N10"/>
  <c r="L20"/>
  <c r="R9"/>
  <c r="O9"/>
  <c r="O20" s="1"/>
  <c r="M9"/>
  <c r="Q9"/>
  <c r="Q20" s="1"/>
  <c r="N9"/>
  <c r="R63"/>
  <c r="N63"/>
  <c r="J46"/>
  <c r="K77"/>
  <c r="O63"/>
  <c r="Q63"/>
  <c r="H77"/>
  <c r="I77" s="1"/>
  <c r="I74" i="6" l="1"/>
  <c r="H115"/>
  <c r="I115" s="1"/>
  <c r="C118"/>
  <c r="B118"/>
  <c r="P117"/>
  <c r="Q115"/>
  <c r="E74"/>
  <c r="D115"/>
  <c r="D116"/>
  <c r="M20" i="3"/>
  <c r="L77"/>
  <c r="N20"/>
  <c r="R20"/>
  <c r="N76"/>
  <c r="R76"/>
  <c r="M46"/>
  <c r="Q46"/>
  <c r="Q76"/>
  <c r="O76"/>
  <c r="N46"/>
  <c r="R46"/>
  <c r="J77"/>
  <c r="O46"/>
  <c r="M76"/>
  <c r="M77" s="1"/>
  <c r="E115" i="6" l="1"/>
  <c r="D118"/>
  <c r="O77" i="3"/>
  <c r="Q77"/>
  <c r="R77"/>
  <c r="N77"/>
</calcChain>
</file>

<file path=xl/sharedStrings.xml><?xml version="1.0" encoding="utf-8"?>
<sst xmlns="http://schemas.openxmlformats.org/spreadsheetml/2006/main" count="862" uniqueCount="496">
  <si>
    <t xml:space="preserve">2013 METŲ DARBO UŽMOKESČIO FONDO  </t>
  </si>
  <si>
    <t>SKIRTŲ  SAVARANKIŠKOMS FUNKCIJOMS VYKDYTI SUMAŽINUS 7,362 % PROJEKTO PALYGINIMAS</t>
  </si>
  <si>
    <t>(tūkst. Lt)</t>
  </si>
  <si>
    <t>Eil. Nr.</t>
  </si>
  <si>
    <t>Įstaigos pavadinimas</t>
  </si>
  <si>
    <t>Etatų sk. 2013-01-01</t>
  </si>
  <si>
    <t>(+ pedagoginės normos - MK - VDF)</t>
  </si>
  <si>
    <t>Viso savar. f-jų etatų</t>
  </si>
  <si>
    <t>Darbo užmokestis patikslintas 2012 metais</t>
  </si>
  <si>
    <t>Darbo užmokestis 2013 metams (tūkst. Lt)</t>
  </si>
  <si>
    <t>Skirta Darbo užmokesčio 2013 m. pagal koeficientų vidurkius  sumažinus  7,362 %</t>
  </si>
  <si>
    <t>1 mėn. Darbo užmokestis pagal koeficientų vidurkius sumažinus 7,362 %</t>
  </si>
  <si>
    <t>Palyginimas 2013 m. su 2012 m. 
( 9 su 6 stp )</t>
  </si>
  <si>
    <t>2013 m. lėšų trukūmas pagal vidurkius 
(9 su 5 stp )</t>
  </si>
  <si>
    <t>pagal patvirtintus koeficientus</t>
  </si>
  <si>
    <t>pagal koeficientų vidurkius</t>
  </si>
  <si>
    <t>Pasikeitimas proc. 
(5 su 4 stp)</t>
  </si>
  <si>
    <t>Pasikeitimas 
(+,-) 
(5 su 4 stp)</t>
  </si>
  <si>
    <t>1 mėn. Darbo užmokestis pagal koeficientų vidurkius</t>
  </si>
  <si>
    <t>( % )</t>
  </si>
  <si>
    <t>( +, - )</t>
  </si>
  <si>
    <t>Suma 
( +, - )</t>
  </si>
  <si>
    <t>Mėnesiai</t>
  </si>
  <si>
    <t>Lopšelis - darželis    " Aviliukas "</t>
  </si>
  <si>
    <t>Lopšelis - darželis  " Pasaka "</t>
  </si>
  <si>
    <t>Mokykla - darželis    " Puriena "</t>
  </si>
  <si>
    <t>Mokykla - darželis  " Vaikystė "</t>
  </si>
  <si>
    <t>Lopšelis - darželis    " Varpelis "</t>
  </si>
  <si>
    <t>Lopšelis - darželis  " Vyturėlis "</t>
  </si>
  <si>
    <t>Lopšelis - darželis    " Žilvitis "</t>
  </si>
  <si>
    <t>Pelėdnagių mokykla - darželis " Dobiliukas "</t>
  </si>
  <si>
    <t>Akademijos mokykla - darželis   " Kaštonas "</t>
  </si>
  <si>
    <t>Krakių  darželis</t>
  </si>
  <si>
    <t>Vilainių mokykla - darželis    " Obelėlė "</t>
  </si>
  <si>
    <t>Viso darželiai</t>
  </si>
  <si>
    <t>" Atžalyno " gimnazija</t>
  </si>
  <si>
    <t>Šviesioji gimnazija</t>
  </si>
  <si>
    <t>Akademijos  gimnazija</t>
  </si>
  <si>
    <t>Josvainių   gimnazija</t>
  </si>
  <si>
    <t>Krakių M.Katkaus gimnazija</t>
  </si>
  <si>
    <t>Šėtos   gimnazija</t>
  </si>
  <si>
    <t>" Aušros "   sveikatinimo ir sporto pagrindinė mokykla</t>
  </si>
  <si>
    <t>" Ryto "  pagrindinė mokykla</t>
  </si>
  <si>
    <t>Juozo Paukštelio pagrindinė mokykla</t>
  </si>
  <si>
    <t>Mikalojaus Daukšos pagrindinė mokykla</t>
  </si>
  <si>
    <t>Dotnuvos pagrindinė mokykla</t>
  </si>
  <si>
    <t>Gudžiūnų P. Rabikausko pagrindinė mokykla</t>
  </si>
  <si>
    <t>Labūnavos pagrindinė mokykla</t>
  </si>
  <si>
    <t>Miegenų pagrindinė mokykla</t>
  </si>
  <si>
    <t>Pernaravos pagrindinė mokykla</t>
  </si>
  <si>
    <t>Surviliškio Vinco Svirskio pagrindinė mokykla</t>
  </si>
  <si>
    <t>Truskavos pagrindinė mokykla</t>
  </si>
  <si>
    <t>Suaugusiųjų mokymo centras</t>
  </si>
  <si>
    <t>Kėdainių specialioji mokykla</t>
  </si>
  <si>
    <t>Jaunimo  mokykla</t>
  </si>
  <si>
    <t>Dailės mokykla</t>
  </si>
  <si>
    <t>Kalbų mokykla</t>
  </si>
  <si>
    <t>Muzikos  mokykla</t>
  </si>
  <si>
    <t>Sporto mokykla</t>
  </si>
  <si>
    <t>Švietimo pagalbos tarnyba</t>
  </si>
  <si>
    <t>Viso mokyklos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</si>
  <si>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</si>
  <si>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</si>
  <si>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</si>
  <si>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</si>
  <si>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</si>
  <si>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</si>
  <si>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Mikalojaus Daukšos viešoji biblioteka</t>
  </si>
  <si>
    <t>Kėdainių krašto muziejus</t>
  </si>
  <si>
    <t>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</si>
  <si>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</si>
  <si>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</si>
  <si>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</si>
  <si>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</si>
  <si>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Globos namai   " Saulutė "</t>
  </si>
  <si>
    <t>Visuomenės sveikatos biuras</t>
  </si>
  <si>
    <t>Savivaldybės kontrolės ir audito tarnyba</t>
  </si>
  <si>
    <t>Viso kitos įstaigos</t>
  </si>
  <si>
    <t xml:space="preserve">Savivaldybės administracija </t>
  </si>
  <si>
    <t>Kėdainių miesto seniūnija</t>
  </si>
  <si>
    <t>Dotnuvos seniūnija</t>
  </si>
  <si>
    <t>Gudžiūnų seniūnija</t>
  </si>
  <si>
    <t>Josvainių seniūnija</t>
  </si>
  <si>
    <t>Krakių seniūnija</t>
  </si>
  <si>
    <t>Pelėdnagių seniūnija</t>
  </si>
  <si>
    <t>Pernaravos seniūnija</t>
  </si>
  <si>
    <t>Surviliškio seniūnija</t>
  </si>
  <si>
    <t>Šėtos seniūnija</t>
  </si>
  <si>
    <t>Truskavos seniūnija</t>
  </si>
  <si>
    <t>Vilainių seniūnija</t>
  </si>
  <si>
    <t>Viso savivaldybės administracija ir seniūnijos</t>
  </si>
  <si>
    <t>Iš viso darbo užmokestis</t>
  </si>
  <si>
    <t>2012 m reorganizuotos švietimo įstaigos</t>
  </si>
  <si>
    <t>Labūnavos darželis " Ąžuoliukas "</t>
  </si>
  <si>
    <t>Lančiūnavos vaikų  darželis</t>
  </si>
  <si>
    <t>Lančiūnavos pagrindinė mokykla</t>
  </si>
  <si>
    <t>Tiskūnų Juozo Urbšio pagrindinė mokykla</t>
  </si>
  <si>
    <t>Iš viso reorganizuotose įstaigose</t>
  </si>
  <si>
    <t>Iš viso savarankiškų f-jų darbo užmokestis</t>
  </si>
  <si>
    <t>VALSTYBĖS DELEGUOTŲ FUNKCIJŲ SKIRTŲ 2013 M. PALYGINIMAS SU 2012 M. PATIKSLINTU PLANU</t>
  </si>
  <si>
    <t>Valstybės deleguotos funkcijos pavadinimas</t>
  </si>
  <si>
    <t>Funkcijos kodas</t>
  </si>
  <si>
    <t xml:space="preserve">2013 m. </t>
  </si>
  <si>
    <t xml:space="preserve">2012 m. </t>
  </si>
  <si>
    <t>Palyginimas (+, -)</t>
  </si>
  <si>
    <t>Iš viso</t>
  </si>
  <si>
    <t>iš jų:
darbo užmokestis</t>
  </si>
  <si>
    <t>Iš viso (4 su 6 stp)</t>
  </si>
  <si>
    <t>iš jų:
darbo užmokestis (5 su 7 stp)</t>
  </si>
  <si>
    <t>Gyventojų registro tvarkymas ir duomenų valstybės registrui teikimas</t>
  </si>
  <si>
    <t>01.03.03.02</t>
  </si>
  <si>
    <t>Archyvinių dokumentų tvarkymas</t>
  </si>
  <si>
    <t>Duomenų teikimas Valstybės suteiktos pagalbos registrui</t>
  </si>
  <si>
    <t>Vaikų teisių apsauga</t>
  </si>
  <si>
    <t>01.06.01.02</t>
  </si>
  <si>
    <t>Jaunimo teisių apsauga</t>
  </si>
  <si>
    <t>Valstybinės kalbos vartojimo ir taisyklingumo kontrolė</t>
  </si>
  <si>
    <t>01.06.01.03</t>
  </si>
  <si>
    <t>Civilinės būklės aktų registravimas</t>
  </si>
  <si>
    <t>01.06.01.05</t>
  </si>
  <si>
    <t>Valstybinės žemės ir kito valstybinio turto valdymas, naudojimas ir disponavimas juo patikėjimo teise</t>
  </si>
  <si>
    <t>01.06.01.07</t>
  </si>
  <si>
    <t>Gyvenamosios vietos deklaravimas</t>
  </si>
  <si>
    <t>01.06.01.11</t>
  </si>
  <si>
    <t>Pirminė teisinė pagalba</t>
  </si>
  <si>
    <t>01.06.01.12</t>
  </si>
  <si>
    <t>Mobilizacijos administravimas</t>
  </si>
  <si>
    <t>02.01.01.05</t>
  </si>
  <si>
    <t>Civilinės saugos organizavimas</t>
  </si>
  <si>
    <t>02.02.01.01</t>
  </si>
  <si>
    <t>Priešgaisrinių tarnybų organizavimas</t>
  </si>
  <si>
    <t>03.02.01.01</t>
  </si>
  <si>
    <t>Darbo rinkos politikos rengimas ir įgyvendinimas</t>
  </si>
  <si>
    <t>04.01.02.01</t>
  </si>
  <si>
    <t>Melioracijos ir hidrotechnikos įrenginių eksploatavimas, dirvų kalkinimo organizavimas (pridedama)</t>
  </si>
  <si>
    <t>04.02.01.01</t>
  </si>
  <si>
    <t>Žemės ūkio funkcijoms vykdyti</t>
  </si>
  <si>
    <t>04.02.01.09</t>
  </si>
  <si>
    <t>Socialinės paslaugos (socialinei globai asmenims su sunkia negalia, socialinei priežiūrai socialinės rizikos šeimoms)</t>
  </si>
  <si>
    <t>10.01.02.02 10.04.01.01</t>
  </si>
  <si>
    <t>Socialinių išmokų ir kompensacijų (būsto šildymo išlaidų, išlaidų šaltam bei nuotekoms ir išlaidų karštam vandeniui) skaičiavimas ir mokėjimas</t>
  </si>
  <si>
    <t xml:space="preserve">10.03.01.01 10.06.01.01  10.07.01.01 10.09.01.01 </t>
  </si>
  <si>
    <t xml:space="preserve">Socialinei paramai mokiniams (išlaidoms už įsigytus produktus bei mokinio reikmėms ir administravimui) </t>
  </si>
  <si>
    <t>10.04.01.40</t>
  </si>
  <si>
    <t>Lentelė Nr. 3</t>
  </si>
  <si>
    <t>Lentelė Nr. 7</t>
  </si>
  <si>
    <t>Kėdainių rajono savivaldybės mokinio krepšelis 2013metams (tūkst.Lt)</t>
  </si>
  <si>
    <t>Eil.Nr.</t>
  </si>
  <si>
    <t>Pavadinimas</t>
  </si>
  <si>
    <t>MK 3310 Lt/sutartiniam mokiniui (pagal metodiką)</t>
  </si>
  <si>
    <t>Tarifikacija (darbo užm.sodra)</t>
  </si>
  <si>
    <t>1mėn.tarifikacija (darbo užm.,sodra)</t>
  </si>
  <si>
    <t>Skirtumas tarp krepšelio ir tarifikacijos</t>
  </si>
  <si>
    <t>Padidėjimas</t>
  </si>
  <si>
    <t>Trūksta (-), lieka krepšelio</t>
  </si>
  <si>
    <t>Trūksta(-),lieka mėnesiais</t>
  </si>
  <si>
    <t>Patikslintas MK iš viso</t>
  </si>
  <si>
    <t>tame skaičiuje</t>
  </si>
  <si>
    <t>Mok.sk.</t>
  </si>
  <si>
    <t>Priešm.sk.</t>
  </si>
  <si>
    <t>Ikim.sk.</t>
  </si>
  <si>
    <t>Sut.mok.sk.</t>
  </si>
  <si>
    <t>Sut.priešm.sk.</t>
  </si>
  <si>
    <t>Sut.ikim.sk.</t>
  </si>
  <si>
    <t>6 proc.</t>
  </si>
  <si>
    <t>Dėl MMA (mokytojų padėjėjams)</t>
  </si>
  <si>
    <t>Dėl išeitinių kompensacijų</t>
  </si>
  <si>
    <t>2012 m. įsiskolinimui</t>
  </si>
  <si>
    <t>Padidinti 36,58 proc.</t>
  </si>
  <si>
    <t>Patikslintas darbo užm., sodra</t>
  </si>
  <si>
    <t>Patikslintas darbo užm.</t>
  </si>
  <si>
    <t>iš jų:</t>
  </si>
  <si>
    <t>PPT</t>
  </si>
  <si>
    <t>Brandos egz.</t>
  </si>
  <si>
    <t>Neform.šv.</t>
  </si>
  <si>
    <t>Men.ugd.mod.</t>
  </si>
  <si>
    <t>Išorės aud.</t>
  </si>
  <si>
    <t>Ugd.formų įvair.</t>
  </si>
  <si>
    <t>Vadovėlia ir mokymo priemonės 70Lt/mokiniui</t>
  </si>
  <si>
    <t>Kvalifikacija 19Lt/sutartiniam mokiniui</t>
  </si>
  <si>
    <t>Pažintinė veikla ir profesinis orientavimas 10,4Lt/mokiniui</t>
  </si>
  <si>
    <t>IKT diegti ir naudoti 20Lt/mokiniui</t>
  </si>
  <si>
    <t>Darbo užmokestis, sodra</t>
  </si>
  <si>
    <t>darbo užmokesčio ir sodros trūkumui dengti</t>
  </si>
  <si>
    <t>Priešmok. Ir ikimokykl.ugdymo formų įvairovei ir prieinamumui užtikrinti</t>
  </si>
  <si>
    <t>Neformaliojo ugdymo įstaigos</t>
  </si>
  <si>
    <t>Šviesioji gimn.</t>
  </si>
  <si>
    <t>Krakių gimn.+sk.</t>
  </si>
  <si>
    <t>"Atžalyno"gimn.</t>
  </si>
  <si>
    <t>"Ryto"pagr.</t>
  </si>
  <si>
    <t>Aušros sveik. ir sp.pagr.mok.</t>
  </si>
  <si>
    <t>Akademijos gimn.+sk.</t>
  </si>
  <si>
    <t>Josvainių gimn.+sk.</t>
  </si>
  <si>
    <t>Šėtos gimn.+sk.</t>
  </si>
  <si>
    <t>M.Daukšos pagr+sk.</t>
  </si>
  <si>
    <t>J.Paukštelio pagr+sk</t>
  </si>
  <si>
    <t>Dotnuvos pagr.</t>
  </si>
  <si>
    <t>Gudžiūnų pagr.+sk</t>
  </si>
  <si>
    <t>Labūnavos pagr.+sk</t>
  </si>
  <si>
    <t>Miegėnų pagr.</t>
  </si>
  <si>
    <t>Pernaravos pagr.</t>
  </si>
  <si>
    <t>Surviliškio pagr.</t>
  </si>
  <si>
    <t>Truskavos pagr.</t>
  </si>
  <si>
    <t>Jaunimo m-la</t>
  </si>
  <si>
    <t>Specialioji m-la</t>
  </si>
  <si>
    <t>Suaug.m.c.</t>
  </si>
  <si>
    <t>"Puriena"m/d</t>
  </si>
  <si>
    <t>"Vaikystė"m/d</t>
  </si>
  <si>
    <t>"Aviliukas"l/d</t>
  </si>
  <si>
    <t>"Obelėlė"m/d</t>
  </si>
  <si>
    <t>"Kaštonas"m/d</t>
  </si>
  <si>
    <t>"Dobiliukas"m/d</t>
  </si>
  <si>
    <t>"Varpelis"l.d</t>
  </si>
  <si>
    <t>Žilvitis l/d</t>
  </si>
  <si>
    <t>"Vyturėlis"l/d</t>
  </si>
  <si>
    <t>"Pasaka"l/d</t>
  </si>
  <si>
    <t>Krakių d.</t>
  </si>
  <si>
    <t>Šėtos soc.c.</t>
  </si>
  <si>
    <t>Josvainių soc.c.</t>
  </si>
  <si>
    <t xml:space="preserve"> Viso</t>
  </si>
  <si>
    <t>Švietimo pagalbos t-ba</t>
  </si>
  <si>
    <t>Muzikos m-la</t>
  </si>
  <si>
    <t>Kalbų m-la</t>
  </si>
  <si>
    <t>Dailės m-la</t>
  </si>
  <si>
    <t>Sporto m-la</t>
  </si>
  <si>
    <t>Brandos egzaminai</t>
  </si>
  <si>
    <t>Išorės vertinimas</t>
  </si>
  <si>
    <t>Skola</t>
  </si>
  <si>
    <t>Lentelė Nr. 4</t>
  </si>
  <si>
    <t>Lentelė Nr.1</t>
  </si>
  <si>
    <t xml:space="preserve">                                    Kėdainių rajono savivaldybės 2013 metų biudžeto pajamos</t>
  </si>
  <si>
    <t>tūkst. Lt</t>
  </si>
  <si>
    <t xml:space="preserve">      palyginimas</t>
  </si>
  <si>
    <t>planas</t>
  </si>
  <si>
    <t>proc.</t>
  </si>
  <si>
    <t>suma</t>
  </si>
  <si>
    <t>Pajamos savarankiškoms funkcijoms vykdyti</t>
  </si>
  <si>
    <t>Gyv. pajamų mokestis tenkantis savivaldybei (procentais)</t>
  </si>
  <si>
    <t xml:space="preserve"> Gyventojų  pajamų mokestis</t>
  </si>
  <si>
    <t>Turto mokesčiai:</t>
  </si>
  <si>
    <t xml:space="preserve">      žemės mokestis</t>
  </si>
  <si>
    <t xml:space="preserve">    nekilnojamojo turto mokestis</t>
  </si>
  <si>
    <t xml:space="preserve">   paveldimo turto mokestis</t>
  </si>
  <si>
    <t xml:space="preserve">   žemės nuomos mokestis</t>
  </si>
  <si>
    <t>Kitos pajamos ir rinkliavos</t>
  </si>
  <si>
    <t>Bendrosios dotacijos kompensacija</t>
  </si>
  <si>
    <t>2,1 karto</t>
  </si>
  <si>
    <t>Pajamos iš valstybės  iždo sąskaitos</t>
  </si>
  <si>
    <t xml:space="preserve"> gyventojų pajamų mokesčiui išlyginti</t>
  </si>
  <si>
    <t xml:space="preserve"> išlaidų struktūroms išlyginti</t>
  </si>
  <si>
    <t>Speciali tikslinė dotacija</t>
  </si>
  <si>
    <t xml:space="preserve">   Mokinio krepšeliui finansuoti</t>
  </si>
  <si>
    <t xml:space="preserve">   Valstybinėms funkcijoms atlikti</t>
  </si>
  <si>
    <t xml:space="preserve">   Kėdainių specialioji mokykla</t>
  </si>
  <si>
    <t xml:space="preserve"> Valstybės investicijų programa</t>
  </si>
  <si>
    <t>Mokestis už aplinkos teršimą</t>
  </si>
  <si>
    <t>Mokestis už valstybinius gamtos išteklius</t>
  </si>
  <si>
    <t>Vietinė rinkliava už atliekų tvarkymą</t>
  </si>
  <si>
    <t>Biudžetinių įstaigų gautos pajamos</t>
  </si>
  <si>
    <t>Pajamos už patalpų nuomą</t>
  </si>
  <si>
    <t>Pajamos už atsitiktines paslaugas</t>
  </si>
  <si>
    <t>Pajamos iš  įmokų</t>
  </si>
  <si>
    <t>Pajamos iš kitų valdymo lygių</t>
  </si>
  <si>
    <t>Grąžintos smulkaus verslo rėmimo  fondo lėšos</t>
  </si>
  <si>
    <t xml:space="preserve">                                                   Iš viso pajamų</t>
  </si>
  <si>
    <t>Lentelė Nr. 6</t>
  </si>
  <si>
    <t>2012 -2013 METŲ  KĖDAINIŲ RAJONO SAVIVALDYBĖS ASIGNAVIMŲ PALYGINIMAI</t>
  </si>
  <si>
    <t>(tūkst.lt)</t>
  </si>
  <si>
    <t>Iš viso asignavimai</t>
  </si>
  <si>
    <t>savarankiškom funkcijom</t>
  </si>
  <si>
    <t xml:space="preserve">spec. dotacija </t>
  </si>
  <si>
    <t>speciali tikslinė dotacija (mokinio krepšelis, valstybės deleguotos f-jos,  iš apskrities  perduotai įstaigai išlaikyti)</t>
  </si>
  <si>
    <t>specialiosios programos ( nuoma, atsitiktinės išlaidos ir įmokos už išlaikymą)</t>
  </si>
  <si>
    <t>palyginimas</t>
  </si>
  <si>
    <t>iš jų darbo užmokestis</t>
  </si>
  <si>
    <t>%</t>
  </si>
  <si>
    <t>(+,-)</t>
  </si>
  <si>
    <t>L.d "Aviliukas"</t>
  </si>
  <si>
    <t>L.d "Pasaka"</t>
  </si>
  <si>
    <t>M. d''Puriena''</t>
  </si>
  <si>
    <t xml:space="preserve">M.d''Vaikystė'' </t>
  </si>
  <si>
    <t>L.d''Varpelis''</t>
  </si>
  <si>
    <t>L.d "Vyturėlis"</t>
  </si>
  <si>
    <t>L.d ''Žilvitis''</t>
  </si>
  <si>
    <t>D.m "Dobiliukas"</t>
  </si>
  <si>
    <t>M.d''Kaštonas''</t>
  </si>
  <si>
    <t>Krakių darželis</t>
  </si>
  <si>
    <t>M. d''Obelėlė''</t>
  </si>
  <si>
    <t>'Atžalyno'' gimnazija</t>
  </si>
  <si>
    <t>Akademijos gimnazija</t>
  </si>
  <si>
    <t>Josvainių gimnazija</t>
  </si>
  <si>
    <t>Krakių  gimnazija</t>
  </si>
  <si>
    <t>Šėtos gimnazija</t>
  </si>
  <si>
    <t>'Aušros'' sveikatinimo ir sporto mokykla</t>
  </si>
  <si>
    <t>'Ryto'' pagrindinė  mokykla</t>
  </si>
  <si>
    <t>J. Paukštelio pagrindinė mokykla</t>
  </si>
  <si>
    <t>M. Daukšos pagrindinė mokykla</t>
  </si>
  <si>
    <t>Gudžiūnų P.Rabikausko pagr.  m</t>
  </si>
  <si>
    <t>2,5 kart</t>
  </si>
  <si>
    <t>Miegėnų pagrindinė mokykla</t>
  </si>
  <si>
    <t>Surviliškio V.Svirskio pagr.mok.</t>
  </si>
  <si>
    <t xml:space="preserve"> Suaug. mokymo centras</t>
  </si>
  <si>
    <t>4 kart</t>
  </si>
  <si>
    <t>Jaunimo mokykla</t>
  </si>
  <si>
    <t>Muzikos mokykla</t>
  </si>
  <si>
    <t>Kėdainių švietimo pagalbos tarnyba</t>
  </si>
  <si>
    <t>Kėdainių kultūros  centras</t>
  </si>
  <si>
    <t>4,2 kart</t>
  </si>
  <si>
    <t>M.Daukšos viešoji biblioteka</t>
  </si>
  <si>
    <t>Bendruomenės soc centras</t>
  </si>
  <si>
    <t>Josvainių soc centras</t>
  </si>
  <si>
    <t>2,4 kart</t>
  </si>
  <si>
    <t>Šėtos soc centras</t>
  </si>
  <si>
    <t>Globos namai "Saulutė"</t>
  </si>
  <si>
    <t>Kėdainių visuomenės sveikatos biuras</t>
  </si>
  <si>
    <t xml:space="preserve"> Kontrolės ir audito tarnyba</t>
  </si>
  <si>
    <t>Savivaldybės administracija</t>
  </si>
  <si>
    <t>Kėdainių miesto sen</t>
  </si>
  <si>
    <t>Dotnuvos sen</t>
  </si>
  <si>
    <t>Gudžiūnų sen</t>
  </si>
  <si>
    <t>Josvainių sen</t>
  </si>
  <si>
    <t>Krakių sen</t>
  </si>
  <si>
    <t>2,1 kart</t>
  </si>
  <si>
    <t>Pelėdnagių sen</t>
  </si>
  <si>
    <t>Pernaravos sen</t>
  </si>
  <si>
    <t>Surviliškio sen</t>
  </si>
  <si>
    <t>Šėtos sen</t>
  </si>
  <si>
    <t>Truskavos sen</t>
  </si>
  <si>
    <t>Vilainių sen.</t>
  </si>
  <si>
    <t>Iš viso įstaigos</t>
  </si>
  <si>
    <t>Administracijos direktoriaus rezervui</t>
  </si>
  <si>
    <t>Kėdainių rajono savivaldybės mero fondui</t>
  </si>
  <si>
    <t xml:space="preserve">Kainų skirtumams gyventojams už šildymą </t>
  </si>
  <si>
    <t>Šalto vandens pardavimo kainos kompensavimui</t>
  </si>
  <si>
    <t>Karšto vandens pardavimo kainos kompensavimui</t>
  </si>
  <si>
    <t>Daugiabučių namų bendrijų rėmimo fondui</t>
  </si>
  <si>
    <t xml:space="preserve">Kėdainių rajono valstybės 2013 m investicijų programai </t>
  </si>
  <si>
    <t xml:space="preserve">Kėdainių rajono savivaldybės 2013 m investicijų programai </t>
  </si>
  <si>
    <t>Kėdainių rajono savivaldybės 2013 m investicijų programai iš skolintų lėšų</t>
  </si>
  <si>
    <t>Melioracijos statinių priežiūrai, remontui, taip pat kultūrtechninių aglomeracinių ir agrocheminių dirvos gerinimo priemonių įgyvandinimui</t>
  </si>
  <si>
    <t>Socialinė parama mokiniams išlaidoms už įsigytus produktus</t>
  </si>
  <si>
    <t>Socialinė parama mokiniams išlaidoms už įsigytus mokinio reikmenis</t>
  </si>
  <si>
    <t>Vaikų užimtumo ir nusikalstamumo prevencijos programai</t>
  </si>
  <si>
    <t>VšĮ Kauno regioninės plėtros agentūros 2013 m. programai</t>
  </si>
  <si>
    <t>Rajono komunalinių atliekų tvarkytojui</t>
  </si>
  <si>
    <t xml:space="preserve">UAB "Kėdbusas" nuostolingų važiavimo maršrutų kompensavimui </t>
  </si>
  <si>
    <t xml:space="preserve">Kelionės išlaidų už lengvatinį keleivių vežimą kompensavimui </t>
  </si>
  <si>
    <t>Prioritetinių sporto šakų veiklos programoms</t>
  </si>
  <si>
    <t xml:space="preserve">Viešųjų įstaigų sporto veiklos programoms konkurso būdu </t>
  </si>
  <si>
    <t>VšĮ "Gyvenimo namai sutrikusio intelekto asmenims" 2013m veiklai</t>
  </si>
  <si>
    <t>VšĮ "Laiptai į viltį" 2013 m. veiklai</t>
  </si>
  <si>
    <t>Gabių ir talentingų vaikų rėmimo fondui</t>
  </si>
  <si>
    <t>VšĮ "Laiptai į viltį" ( paskolos grąžinimas)</t>
  </si>
  <si>
    <t xml:space="preserve"> VšĮ Kėdainių ligoninės įrangos pirkimas</t>
  </si>
  <si>
    <t>VšĮ Kėdainių ligoninės dantų protezavimo pensininkams ir neįgaliesiems 2013 m.  programai</t>
  </si>
  <si>
    <t>VšĮ Kėdainių ligoninės vaikų slaugos lovų  išlaikymo 2013 m. programai</t>
  </si>
  <si>
    <t>PSPC odontologijos paslaugų kokybės gerinimo programai</t>
  </si>
  <si>
    <t>Vykdyti krūties vėžio prevencijos efektyvumo didinimo Kėdainių rajono savivaldybėje 2013 m. programą</t>
  </si>
  <si>
    <t>Vykdyti vaikų otorinolaringologinės pagalbos kokybės gerinimo Kėdainių rajono savivaldybės gyventojams 2013 m. programą</t>
  </si>
  <si>
    <t>Socialinės reabilitacijos paslaugų neįgaliesiems bendruomenėje projektui</t>
  </si>
  <si>
    <t>Pasiutligės prevencijos 2013 m. programai</t>
  </si>
  <si>
    <t xml:space="preserve"> 2013 m. prevencinei programai "Saugos aplinkos kūrimas ir bendruomenės teisėtvarka"</t>
  </si>
  <si>
    <t>VšĮ Kėdainių turizmo ir verslo informacinio centro 2013 m. veiklai</t>
  </si>
  <si>
    <t>Nemokamam socialiai remtinų vaikų maitinimui</t>
  </si>
  <si>
    <t>Bendrojo ugdymo mokyklų mokinių nemokamo maitinimo paslaugų kainų kompensavimui</t>
  </si>
  <si>
    <t>Bendruomenių veiklos programoms</t>
  </si>
  <si>
    <t>Aplinkos apsaugos rėmimo specialiajai programai</t>
  </si>
  <si>
    <t>Palūkanos bankui</t>
  </si>
  <si>
    <t>Paskolos  grąžinimui</t>
  </si>
  <si>
    <t>Kitoms savivaldybėms  pagal suderinimo aktus perduotos mokinio krepšelio lėšos</t>
  </si>
  <si>
    <t>iš viso</t>
  </si>
  <si>
    <t xml:space="preserve">2013 M  KĖDAINIŲ RAJONO SAVIVALDYBĖS ASIGNAVIMŲ  PROJEKTO PALYGINIMAS PAGAL PROGRAMAS SU 2012 M TARYBOS PATVIRTINTAIS ASIGNAVIMAIS </t>
  </si>
  <si>
    <t xml:space="preserve">            Lentelė Nr. 5</t>
  </si>
  <si>
    <t>Programos kodas</t>
  </si>
  <si>
    <t>Programos pavadinimas</t>
  </si>
  <si>
    <t xml:space="preserve">spec. tikslinė dotacija </t>
  </si>
  <si>
    <t>valstyb. deleguotom f-jom</t>
  </si>
  <si>
    <t>01</t>
  </si>
  <si>
    <t>Švietimas ir ugdymas</t>
  </si>
  <si>
    <t>02</t>
  </si>
  <si>
    <t>Sveikatos apsauga</t>
  </si>
  <si>
    <t>03</t>
  </si>
  <si>
    <t>Socialinės apsaugos plėtojimas</t>
  </si>
  <si>
    <t>04</t>
  </si>
  <si>
    <t>Kūno kultūros ir sporto plėtra</t>
  </si>
  <si>
    <t>05</t>
  </si>
  <si>
    <t>Kultūros veiklos plėtra</t>
  </si>
  <si>
    <t>06</t>
  </si>
  <si>
    <t>Kultūros paveldo išsaugojimas, turizmo skatinimas bei vystymas</t>
  </si>
  <si>
    <t>07</t>
  </si>
  <si>
    <t>Infrastruktūros objektų priežiūra ir plėtra</t>
  </si>
  <si>
    <t>08</t>
  </si>
  <si>
    <t>Aplinkos apsauga</t>
  </si>
  <si>
    <t>09</t>
  </si>
  <si>
    <t>Žemės ūkio plėtra ir melioracija</t>
  </si>
  <si>
    <t>10</t>
  </si>
  <si>
    <t>Parama verslui ir verslo plėtra</t>
  </si>
  <si>
    <t>11</t>
  </si>
  <si>
    <t>Savivaldybės valdymo tobulinimas</t>
  </si>
  <si>
    <t>spec. (patalpų nuoma)</t>
  </si>
  <si>
    <t>spec. (atsitiktinės)</t>
  </si>
  <si>
    <t>spec. (įmokos)</t>
  </si>
  <si>
    <t>2013 m. Kėdainių rajono savivaldybės biudžetinių įstaigų asignavimų projektas</t>
  </si>
  <si>
    <t>Lentelė Nr. 2</t>
  </si>
  <si>
    <t>tūkst.Lt</t>
  </si>
  <si>
    <t>2013 m</t>
  </si>
  <si>
    <t xml:space="preserve">                iš jų pagal atskirus išlaidų straipsnius</t>
  </si>
  <si>
    <t>projektas</t>
  </si>
  <si>
    <t xml:space="preserve">Darbo </t>
  </si>
  <si>
    <t>Įnašai</t>
  </si>
  <si>
    <t>Viso</t>
  </si>
  <si>
    <t>Mityba</t>
  </si>
  <si>
    <t>Medika-</t>
  </si>
  <si>
    <t>Šildy-</t>
  </si>
  <si>
    <t>Elektra</t>
  </si>
  <si>
    <t>Ryšiai</t>
  </si>
  <si>
    <t>Transpor-</t>
  </si>
  <si>
    <t>Apranga</t>
  </si>
  <si>
    <t>Spaudi-</t>
  </si>
  <si>
    <t>Kitos</t>
  </si>
  <si>
    <t>Koman-</t>
  </si>
  <si>
    <t>Vandent.</t>
  </si>
  <si>
    <t>Kvalifikacijos</t>
  </si>
  <si>
    <t>Turtas</t>
  </si>
  <si>
    <t>Socialinė</t>
  </si>
  <si>
    <t>užmokestis</t>
  </si>
  <si>
    <t>soc,draud.</t>
  </si>
  <si>
    <t>išlaidos</t>
  </si>
  <si>
    <t>mentai</t>
  </si>
  <si>
    <t>mas</t>
  </si>
  <si>
    <t>tas</t>
  </si>
  <si>
    <t>ir patalyn.</t>
  </si>
  <si>
    <t>niai</t>
  </si>
  <si>
    <t>prekės</t>
  </si>
  <si>
    <t>diruotės</t>
  </si>
  <si>
    <t>ir kanaliz.</t>
  </si>
  <si>
    <t>kėlimas</t>
  </si>
  <si>
    <t>paslaugos</t>
  </si>
  <si>
    <t>parama</t>
  </si>
  <si>
    <t>Lopšelis-darželis "Aviliukas"</t>
  </si>
  <si>
    <t xml:space="preserve">Savarankiškoms funkcijoms atlikti </t>
  </si>
  <si>
    <t>Įplaukos už paslaugas</t>
  </si>
  <si>
    <t>Mokinio krepšelis</t>
  </si>
  <si>
    <t>Lopšelis-darželis "Pasaka"</t>
  </si>
  <si>
    <t>Mokykla-darželis "Puriena"</t>
  </si>
  <si>
    <t>Valstybės deleguotos</t>
  </si>
  <si>
    <t>Mokykla-darželis "Vaikystė"</t>
  </si>
  <si>
    <t>Lopšelis-darželis "Varpelis"</t>
  </si>
  <si>
    <t>Lopšelis-darželis "Vyturėlis"</t>
  </si>
  <si>
    <t>Lopšelis-darželis "Žilvitis"</t>
  </si>
  <si>
    <t>Pelėdnagių mokykla-darželis "Dobiliukas"</t>
  </si>
  <si>
    <t>Akademijos mokykla-darželis "Kaštonas"</t>
  </si>
  <si>
    <t>Vilainių mokykla-darželis "Obelėlė"</t>
  </si>
  <si>
    <t>VISO DARŽELIAI</t>
  </si>
  <si>
    <t>Atžalyno gimnazija</t>
  </si>
  <si>
    <t>Krakių Mikalojaus Katkaus gimnazija</t>
  </si>
  <si>
    <t>Šėtos  gimnazija</t>
  </si>
  <si>
    <t>Aušros sveikatinimo ir sporto pagrindinė mokykla</t>
  </si>
  <si>
    <t>Ryto pagrindinė  mokykla</t>
  </si>
  <si>
    <t>Gudžiūnų Pauliaus Rabikausko pagrindinė mokykla</t>
  </si>
  <si>
    <t xml:space="preserve">Kėdainių specialioji mokykla </t>
  </si>
  <si>
    <t>Išmokos vaikams</t>
  </si>
  <si>
    <t>VISO MOKYKLOS</t>
  </si>
  <si>
    <t>Bendruomenės socialinis centras</t>
  </si>
  <si>
    <t>Šėtos socialinis ir ugdymo  centras</t>
  </si>
  <si>
    <t>Vaikų globos namai "Saulutė"</t>
  </si>
  <si>
    <t>Kontrolės ir audito tarnyba</t>
  </si>
  <si>
    <t>KITOS ĮSTAIGOS</t>
  </si>
  <si>
    <t>VISO SAVIVALDYBĖS ADMINISTRACIJA IR SENIŪNIJOS</t>
  </si>
  <si>
    <t>VšĮ Kauno regioninės plėtros agentūros 2013 m programai</t>
  </si>
  <si>
    <t>Vš Į "Gyvenimo namai sutrikusio intelekto asmenims" 2013 m veiklai</t>
  </si>
  <si>
    <t xml:space="preserve">Viešųjų įstaigų sporto veiklos programoms  konkurso būdu </t>
  </si>
  <si>
    <t>Vš Į "Laiptai į viltį" 2013 m veiklai</t>
  </si>
  <si>
    <t>Vš Į Kėdainių ligoninės dantų protezavimo pensininkams ir neįgaliesiems 2013 m  programai</t>
  </si>
  <si>
    <t>Vš Į Kėdainių ligoninės įrangos pirkimas</t>
  </si>
  <si>
    <t>Vš Į Kėdainių ligoninės vaikų slaugos lovų  išlaikymo 2013 m   programai</t>
  </si>
  <si>
    <t>Pasiutligės prevencijos 2013 m  programai</t>
  </si>
  <si>
    <t xml:space="preserve"> 2013 m prevencinei programai "Saugios aplinkos kūrimas ir bendruomenės teisėtvarka"</t>
  </si>
  <si>
    <t>Vš Į Kėdainių verslo ir turizmo informacinio centro 2013 m veiklai</t>
  </si>
  <si>
    <t>Priklausomybės sukeliančių medžiagų vartojimo mažinimo ir prevencijos programai</t>
  </si>
  <si>
    <t>Psichikos sveikatos stiprinimo programa</t>
  </si>
  <si>
    <t xml:space="preserve">Bendrojo ugdymo  mokyklų  mokinių nemokamo maitinimo  paslaugų kainų  kompensavimui </t>
  </si>
  <si>
    <t>Šalto  vandens pardavimo kainos kompensavimui</t>
  </si>
  <si>
    <t xml:space="preserve"> Karšto vandens pardavimo kainos kompensavimui</t>
  </si>
  <si>
    <t xml:space="preserve">Bendruomenių veiklos programoms </t>
  </si>
  <si>
    <t>Kėdainių rajono valstybės 2013 m investicijų programai</t>
  </si>
  <si>
    <t>Investicijų programa</t>
  </si>
  <si>
    <t>Kėdainių rajono savivaldybės 2013 m investicijų programai (iš skolintų lėšų)</t>
  </si>
  <si>
    <t>Kėdainių rajono komunalinių atliekų tvarkytojui</t>
  </si>
  <si>
    <t xml:space="preserve">Paskolos  grąžinimui </t>
  </si>
  <si>
    <t>viso</t>
  </si>
  <si>
    <t xml:space="preserve">IŠ VISO </t>
  </si>
  <si>
    <t>IŠ VISO</t>
  </si>
  <si>
    <t>Savarankiškoms funkcijoms atlikti</t>
  </si>
  <si>
    <t>Savarankiškoms funkcijoms atlikti  (skolintos, aplinkos apsaugos rėmimo specialiajai programai, rajono komunalinių atliekų  tvarkytojui )</t>
  </si>
  <si>
    <t>Specialioji tikslinė dotacija (Kėdainių specialioji mokykla)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</si>
</sst>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;\-0.0;;"/>
  </numFmts>
  <fonts count="23">
    <font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9"/>
      <color indexed="10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u/>
      <sz val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8"/>
      <color indexed="17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Times New Roman"/>
      <family val="1"/>
      <charset val="186"/>
    </font>
    <font>
      <sz val="8"/>
      <color theme="5" tint="-0.249977111117893"/>
      <name val="Times New Roman"/>
      <family val="1"/>
      <charset val="186"/>
    </font>
    <font>
      <sz val="8"/>
      <color indexed="17"/>
      <name val="Times New Roman"/>
      <family val="1"/>
      <charset val="186"/>
    </font>
    <font>
      <sz val="8"/>
      <color indexed="10"/>
      <name val="Times New Roman"/>
      <family val="1"/>
      <charset val="186"/>
    </font>
    <font>
      <sz val="7"/>
      <color indexed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3" fillId="0" borderId="0"/>
  </cellStyleXfs>
  <cellXfs count="358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2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right"/>
    </xf>
    <xf numFmtId="164" fontId="4" fillId="0" borderId="16" xfId="0" applyNumberFormat="1" applyFont="1" applyFill="1" applyBorder="1"/>
    <xf numFmtId="0" fontId="2" fillId="0" borderId="15" xfId="0" applyFont="1" applyFill="1" applyBorder="1"/>
    <xf numFmtId="164" fontId="2" fillId="0" borderId="15" xfId="0" applyNumberFormat="1" applyFont="1" applyFill="1" applyBorder="1"/>
    <xf numFmtId="164" fontId="2" fillId="0" borderId="0" xfId="0" applyNumberFormat="1" applyFont="1" applyFill="1"/>
    <xf numFmtId="0" fontId="2" fillId="0" borderId="0" xfId="0" applyFont="1" applyFill="1" applyAlignment="1">
      <alignment horizontal="center"/>
    </xf>
    <xf numFmtId="164" fontId="5" fillId="0" borderId="16" xfId="0" applyNumberFormat="1" applyFont="1" applyFill="1" applyBorder="1" applyAlignment="1">
      <alignment horizontal="right"/>
    </xf>
    <xf numFmtId="0" fontId="1" fillId="0" borderId="15" xfId="0" applyFont="1" applyFill="1" applyBorder="1"/>
    <xf numFmtId="164" fontId="1" fillId="0" borderId="15" xfId="0" applyNumberFormat="1" applyFont="1" applyFill="1" applyBorder="1"/>
    <xf numFmtId="164" fontId="4" fillId="0" borderId="16" xfId="0" applyNumberFormat="1" applyFont="1" applyFill="1" applyBorder="1" applyAlignment="1">
      <alignment wrapText="1"/>
    </xf>
    <xf numFmtId="164" fontId="4" fillId="0" borderId="16" xfId="0" applyNumberFormat="1" applyFont="1" applyFill="1" applyBorder="1" applyAlignment="1">
      <alignment horizontal="left"/>
    </xf>
    <xf numFmtId="0" fontId="6" fillId="0" borderId="0" xfId="0" applyFont="1" applyFill="1"/>
    <xf numFmtId="164" fontId="5" fillId="0" borderId="15" xfId="0" applyNumberFormat="1" applyFont="1" applyFill="1" applyBorder="1" applyAlignment="1">
      <alignment horizontal="right"/>
    </xf>
    <xf numFmtId="164" fontId="4" fillId="0" borderId="17" xfId="0" applyNumberFormat="1" applyFont="1" applyFill="1" applyBorder="1"/>
    <xf numFmtId="164" fontId="4" fillId="0" borderId="18" xfId="0" applyNumberFormat="1" applyFont="1" applyFill="1" applyBorder="1"/>
    <xf numFmtId="164" fontId="4" fillId="0" borderId="19" xfId="0" applyNumberFormat="1" applyFont="1" applyFill="1" applyBorder="1"/>
    <xf numFmtId="164" fontId="4" fillId="0" borderId="19" xfId="0" applyNumberFormat="1" applyFont="1" applyFill="1" applyBorder="1" applyAlignment="1">
      <alignment horizontal="left"/>
    </xf>
    <xf numFmtId="164" fontId="5" fillId="0" borderId="16" xfId="0" applyNumberFormat="1" applyFont="1" applyFill="1" applyBorder="1" applyAlignment="1">
      <alignment horizontal="right" wrapText="1"/>
    </xf>
    <xf numFmtId="2" fontId="1" fillId="0" borderId="15" xfId="0" applyNumberFormat="1" applyFont="1" applyFill="1" applyBorder="1"/>
    <xf numFmtId="2" fontId="2" fillId="0" borderId="0" xfId="0" applyNumberFormat="1" applyFont="1" applyFill="1"/>
    <xf numFmtId="0" fontId="1" fillId="0" borderId="0" xfId="0" applyFont="1" applyFill="1"/>
    <xf numFmtId="164" fontId="4" fillId="0" borderId="15" xfId="0" applyNumberFormat="1" applyFont="1" applyFill="1" applyBorder="1"/>
    <xf numFmtId="0" fontId="1" fillId="0" borderId="15" xfId="0" applyFont="1" applyFill="1" applyBorder="1" applyAlignment="1">
      <alignment horizontal="right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8" fillId="0" borderId="0" xfId="0" applyNumberFormat="1" applyFont="1" applyFill="1" applyAlignment="1">
      <alignment horizontal="right"/>
    </xf>
    <xf numFmtId="0" fontId="8" fillId="0" borderId="19" xfId="0" applyFont="1" applyFill="1" applyBorder="1" applyAlignment="1">
      <alignment wrapText="1"/>
    </xf>
    <xf numFmtId="0" fontId="8" fillId="0" borderId="15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wrapText="1"/>
    </xf>
    <xf numFmtId="0" fontId="8" fillId="0" borderId="15" xfId="0" applyNumberFormat="1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/>
    </xf>
    <xf numFmtId="1" fontId="8" fillId="0" borderId="15" xfId="0" applyNumberFormat="1" applyFont="1" applyFill="1" applyBorder="1" applyAlignment="1">
      <alignment horizontal="right"/>
    </xf>
    <xf numFmtId="0" fontId="8" fillId="0" borderId="15" xfId="0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center" vertical="center"/>
    </xf>
    <xf numFmtId="164" fontId="8" fillId="0" borderId="15" xfId="0" applyNumberFormat="1" applyFont="1" applyFill="1" applyBorder="1"/>
    <xf numFmtId="0" fontId="8" fillId="0" borderId="15" xfId="0" applyFont="1" applyFill="1" applyBorder="1"/>
    <xf numFmtId="0" fontId="8" fillId="0" borderId="15" xfId="0" applyNumberFormat="1" applyFont="1" applyFill="1" applyBorder="1" applyAlignment="1">
      <alignment horizontal="center"/>
    </xf>
    <xf numFmtId="0" fontId="8" fillId="0" borderId="15" xfId="0" applyFont="1" applyFill="1" applyBorder="1" applyAlignment="1">
      <alignment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right"/>
    </xf>
    <xf numFmtId="164" fontId="7" fillId="0" borderId="15" xfId="0" applyNumberFormat="1" applyFont="1" applyFill="1" applyBorder="1"/>
    <xf numFmtId="164" fontId="8" fillId="0" borderId="0" xfId="0" applyNumberFormat="1" applyFont="1" applyFill="1"/>
    <xf numFmtId="0" fontId="9" fillId="0" borderId="0" xfId="0" applyFont="1" applyFill="1"/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/>
    <xf numFmtId="0" fontId="8" fillId="0" borderId="13" xfId="0" applyFont="1" applyFill="1" applyBorder="1" applyAlignment="1">
      <alignment vertical="center" textRotation="90" wrapText="1"/>
    </xf>
    <xf numFmtId="0" fontId="8" fillId="0" borderId="15" xfId="0" applyFont="1" applyFill="1" applyBorder="1" applyAlignment="1">
      <alignment vertical="center" textRotation="90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textRotation="90" wrapText="1"/>
    </xf>
    <xf numFmtId="0" fontId="8" fillId="0" borderId="15" xfId="0" applyFont="1" applyFill="1" applyBorder="1" applyAlignment="1">
      <alignment horizontal="center" vertical="center" textRotation="90" wrapText="1"/>
    </xf>
    <xf numFmtId="0" fontId="8" fillId="0" borderId="19" xfId="0" applyFont="1" applyFill="1" applyBorder="1"/>
    <xf numFmtId="164" fontId="8" fillId="0" borderId="15" xfId="0" applyNumberFormat="1" applyFont="1" applyBorder="1"/>
    <xf numFmtId="0" fontId="7" fillId="0" borderId="15" xfId="0" applyFont="1" applyFill="1" applyBorder="1"/>
    <xf numFmtId="165" fontId="7" fillId="0" borderId="15" xfId="0" applyNumberFormat="1" applyFont="1" applyFill="1" applyBorder="1"/>
    <xf numFmtId="2" fontId="8" fillId="0" borderId="0" xfId="0" applyNumberFormat="1" applyFont="1" applyFill="1"/>
    <xf numFmtId="165" fontId="8" fillId="0" borderId="0" xfId="0" applyNumberFormat="1" applyFont="1" applyFill="1"/>
    <xf numFmtId="0" fontId="10" fillId="0" borderId="0" xfId="0" applyFont="1" applyFill="1"/>
    <xf numFmtId="0" fontId="7" fillId="0" borderId="0" xfId="0" applyFont="1" applyFill="1"/>
    <xf numFmtId="0" fontId="7" fillId="0" borderId="17" xfId="0" applyFont="1" applyFill="1" applyBorder="1"/>
    <xf numFmtId="0" fontId="10" fillId="0" borderId="15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15" xfId="0" applyFont="1" applyFill="1" applyBorder="1"/>
    <xf numFmtId="164" fontId="10" fillId="0" borderId="0" xfId="0" applyNumberFormat="1" applyFont="1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15" xfId="0" applyFont="1" applyBorder="1"/>
    <xf numFmtId="0" fontId="11" fillId="0" borderId="13" xfId="0" applyFont="1" applyBorder="1"/>
    <xf numFmtId="0" fontId="11" fillId="0" borderId="18" xfId="0" applyFont="1" applyBorder="1"/>
    <xf numFmtId="0" fontId="11" fillId="0" borderId="19" xfId="0" applyFont="1" applyBorder="1"/>
    <xf numFmtId="0" fontId="12" fillId="0" borderId="15" xfId="0" applyFont="1" applyBorder="1"/>
    <xf numFmtId="164" fontId="12" fillId="0" borderId="15" xfId="0" applyNumberFormat="1" applyFont="1" applyBorder="1"/>
    <xf numFmtId="164" fontId="11" fillId="0" borderId="15" xfId="0" applyNumberFormat="1" applyFont="1" applyBorder="1"/>
    <xf numFmtId="2" fontId="13" fillId="0" borderId="15" xfId="0" applyNumberFormat="1" applyFont="1" applyBorder="1"/>
    <xf numFmtId="164" fontId="13" fillId="0" borderId="15" xfId="0" applyNumberFormat="1" applyFont="1" applyBorder="1"/>
    <xf numFmtId="164" fontId="11" fillId="0" borderId="0" xfId="0" applyNumberFormat="1" applyFont="1"/>
    <xf numFmtId="0" fontId="13" fillId="0" borderId="15" xfId="0" applyFont="1" applyBorder="1"/>
    <xf numFmtId="0" fontId="11" fillId="0" borderId="0" xfId="0" applyFont="1" applyBorder="1"/>
    <xf numFmtId="0" fontId="13" fillId="0" borderId="0" xfId="0" applyFont="1" applyBorder="1"/>
    <xf numFmtId="0" fontId="11" fillId="0" borderId="2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right"/>
    </xf>
    <xf numFmtId="164" fontId="15" fillId="0" borderId="15" xfId="0" applyNumberFormat="1" applyFont="1" applyBorder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26" xfId="0" applyFont="1" applyFill="1" applyBorder="1" applyAlignment="1">
      <alignment horizontal="left"/>
    </xf>
    <xf numFmtId="0" fontId="7" fillId="0" borderId="23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center"/>
    </xf>
    <xf numFmtId="164" fontId="8" fillId="0" borderId="19" xfId="1" applyNumberFormat="1" applyFont="1" applyFill="1" applyBorder="1" applyAlignment="1">
      <alignment horizontal="left"/>
    </xf>
    <xf numFmtId="164" fontId="8" fillId="0" borderId="19" xfId="1" applyNumberFormat="1" applyFont="1" applyFill="1" applyBorder="1"/>
    <xf numFmtId="164" fontId="8" fillId="0" borderId="19" xfId="1" quotePrefix="1" applyNumberFormat="1" applyFont="1" applyFill="1" applyBorder="1" applyAlignment="1">
      <alignment horizontal="left"/>
    </xf>
    <xf numFmtId="164" fontId="8" fillId="0" borderId="19" xfId="1" applyNumberFormat="1" applyFont="1" applyFill="1" applyBorder="1" applyAlignment="1">
      <alignment horizontal="left" wrapText="1"/>
    </xf>
    <xf numFmtId="164" fontId="7" fillId="0" borderId="19" xfId="1" applyNumberFormat="1" applyFont="1" applyFill="1" applyBorder="1" applyAlignment="1">
      <alignment horizontal="right" wrapText="1"/>
    </xf>
    <xf numFmtId="0" fontId="8" fillId="0" borderId="19" xfId="2" applyFont="1" applyFill="1" applyBorder="1" applyAlignment="1">
      <alignment horizontal="left" wrapText="1"/>
    </xf>
    <xf numFmtId="0" fontId="8" fillId="0" borderId="19" xfId="2" applyFont="1" applyFill="1" applyBorder="1" applyAlignment="1">
      <alignment horizontal="left" vertical="center" wrapText="1"/>
    </xf>
    <xf numFmtId="164" fontId="8" fillId="0" borderId="19" xfId="0" applyNumberFormat="1" applyFont="1" applyFill="1" applyBorder="1" applyAlignment="1">
      <alignment horizontal="left" wrapText="1"/>
    </xf>
    <xf numFmtId="164" fontId="8" fillId="0" borderId="19" xfId="1" applyNumberFormat="1" applyFont="1" applyFill="1" applyBorder="1" applyAlignment="1">
      <alignment horizontal="left" vertical="center" wrapText="1"/>
    </xf>
    <xf numFmtId="0" fontId="8" fillId="0" borderId="19" xfId="2" applyFont="1" applyFill="1" applyBorder="1" applyAlignment="1">
      <alignment horizontal="left"/>
    </xf>
    <xf numFmtId="164" fontId="8" fillId="0" borderId="19" xfId="1" applyNumberFormat="1" applyFont="1" applyFill="1" applyBorder="1" applyAlignment="1">
      <alignment wrapText="1"/>
    </xf>
    <xf numFmtId="0" fontId="7" fillId="0" borderId="34" xfId="2" applyFont="1" applyFill="1" applyBorder="1" applyAlignment="1">
      <alignment horizontal="left"/>
    </xf>
    <xf numFmtId="164" fontId="7" fillId="0" borderId="39" xfId="3" applyNumberFormat="1" applyFont="1" applyFill="1" applyBorder="1" applyAlignment="1" applyProtection="1">
      <alignment horizontal="center" vertical="center"/>
      <protection hidden="1"/>
    </xf>
    <xf numFmtId="164" fontId="16" fillId="0" borderId="42" xfId="4" applyNumberFormat="1" applyFont="1" applyFill="1" applyBorder="1" applyAlignment="1" applyProtection="1">
      <alignment horizontal="center" vertical="center"/>
      <protection hidden="1"/>
    </xf>
    <xf numFmtId="164" fontId="8" fillId="0" borderId="0" xfId="0" applyNumberFormat="1" applyFont="1" applyFill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4" fontId="7" fillId="0" borderId="42" xfId="5" applyNumberFormat="1" applyFont="1" applyFill="1" applyBorder="1" applyAlignment="1" applyProtection="1">
      <alignment horizontal="center" vertical="center"/>
      <protection hidden="1"/>
    </xf>
    <xf numFmtId="49" fontId="13" fillId="0" borderId="15" xfId="0" applyNumberFormat="1" applyFont="1" applyFill="1" applyBorder="1" applyAlignment="1">
      <alignment horizontal="center" vertical="center"/>
    </xf>
    <xf numFmtId="164" fontId="1" fillId="0" borderId="0" xfId="2" applyNumberFormat="1" applyFont="1" applyFill="1"/>
    <xf numFmtId="0" fontId="2" fillId="0" borderId="0" xfId="6" applyFont="1" applyFill="1"/>
    <xf numFmtId="0" fontId="2" fillId="0" borderId="0" xfId="6" applyFont="1" applyFill="1" applyBorder="1"/>
    <xf numFmtId="164" fontId="2" fillId="0" borderId="0" xfId="2" applyNumberFormat="1" applyFont="1" applyFill="1"/>
    <xf numFmtId="0" fontId="2" fillId="0" borderId="0" xfId="6" applyFont="1" applyBorder="1"/>
    <xf numFmtId="0" fontId="2" fillId="0" borderId="1" xfId="6" applyFont="1" applyFill="1" applyBorder="1"/>
    <xf numFmtId="164" fontId="2" fillId="0" borderId="1" xfId="7" applyNumberFormat="1" applyFont="1" applyFill="1" applyBorder="1" applyAlignment="1">
      <alignment horizontal="center"/>
    </xf>
    <xf numFmtId="0" fontId="2" fillId="0" borderId="4" xfId="6" applyFont="1" applyBorder="1"/>
    <xf numFmtId="0" fontId="2" fillId="0" borderId="0" xfId="6" applyFont="1"/>
    <xf numFmtId="0" fontId="2" fillId="0" borderId="8" xfId="1" applyFont="1" applyFill="1" applyBorder="1"/>
    <xf numFmtId="164" fontId="2" fillId="0" borderId="8" xfId="1" applyNumberFormat="1" applyFont="1" applyFill="1" applyBorder="1" applyAlignment="1">
      <alignment horizontal="center"/>
    </xf>
    <xf numFmtId="164" fontId="2" fillId="0" borderId="8" xfId="7" applyNumberFormat="1" applyFont="1" applyFill="1" applyBorder="1" applyAlignment="1">
      <alignment horizontal="center"/>
    </xf>
    <xf numFmtId="0" fontId="2" fillId="0" borderId="1" xfId="6" applyFont="1" applyBorder="1"/>
    <xf numFmtId="164" fontId="2" fillId="0" borderId="12" xfId="1" applyNumberFormat="1" applyFont="1" applyFill="1" applyBorder="1"/>
    <xf numFmtId="164" fontId="2" fillId="0" borderId="12" xfId="7" applyNumberFormat="1" applyFont="1" applyFill="1" applyBorder="1" applyAlignment="1">
      <alignment horizontal="center"/>
    </xf>
    <xf numFmtId="164" fontId="2" fillId="0" borderId="12" xfId="7" applyNumberFormat="1" applyFont="1" applyFill="1" applyBorder="1" applyAlignment="1">
      <alignment horizontal="left"/>
    </xf>
    <xf numFmtId="0" fontId="2" fillId="0" borderId="12" xfId="6" applyFont="1" applyBorder="1"/>
    <xf numFmtId="0" fontId="1" fillId="0" borderId="15" xfId="1" applyFont="1" applyFill="1" applyBorder="1" applyAlignment="1">
      <alignment horizontal="center"/>
    </xf>
    <xf numFmtId="1" fontId="1" fillId="0" borderId="13" xfId="1" applyNumberFormat="1" applyFont="1" applyFill="1" applyBorder="1" applyAlignment="1">
      <alignment horizontal="center"/>
    </xf>
    <xf numFmtId="0" fontId="1" fillId="0" borderId="13" xfId="1" applyFont="1" applyFill="1" applyBorder="1" applyAlignment="1">
      <alignment horizontal="center"/>
    </xf>
    <xf numFmtId="0" fontId="1" fillId="0" borderId="13" xfId="6" applyFont="1" applyFill="1" applyBorder="1" applyAlignment="1">
      <alignment horizontal="center"/>
    </xf>
    <xf numFmtId="0" fontId="1" fillId="0" borderId="13" xfId="6" applyFont="1" applyBorder="1" applyAlignment="1">
      <alignment horizontal="center"/>
    </xf>
    <xf numFmtId="0" fontId="2" fillId="0" borderId="15" xfId="1" applyFont="1" applyFill="1" applyBorder="1"/>
    <xf numFmtId="166" fontId="1" fillId="0" borderId="15" xfId="7" applyNumberFormat="1" applyFont="1" applyFill="1" applyBorder="1" applyAlignment="1">
      <alignment horizontal="right"/>
    </xf>
    <xf numFmtId="166" fontId="1" fillId="0" borderId="19" xfId="7" applyNumberFormat="1" applyFont="1" applyFill="1" applyBorder="1" applyAlignment="1">
      <alignment horizontal="right"/>
    </xf>
    <xf numFmtId="164" fontId="1" fillId="0" borderId="0" xfId="6" applyNumberFormat="1" applyFont="1" applyFill="1" applyBorder="1"/>
    <xf numFmtId="166" fontId="2" fillId="0" borderId="15" xfId="7" applyNumberFormat="1" applyFont="1" applyFill="1" applyBorder="1" applyAlignment="1">
      <alignment horizontal="right"/>
    </xf>
    <xf numFmtId="0" fontId="2" fillId="0" borderId="15" xfId="6" applyFont="1" applyFill="1" applyBorder="1" applyAlignment="1">
      <alignment horizontal="right"/>
    </xf>
    <xf numFmtId="166" fontId="2" fillId="0" borderId="19" xfId="7" applyNumberFormat="1" applyFont="1" applyFill="1" applyBorder="1" applyAlignment="1">
      <alignment horizontal="right"/>
    </xf>
    <xf numFmtId="166" fontId="2" fillId="0" borderId="15" xfId="6" applyNumberFormat="1" applyFont="1" applyFill="1" applyBorder="1"/>
    <xf numFmtId="166" fontId="2" fillId="0" borderId="15" xfId="1" applyNumberFormat="1" applyFont="1" applyFill="1" applyBorder="1" applyAlignment="1">
      <alignment horizontal="right"/>
    </xf>
    <xf numFmtId="166" fontId="2" fillId="0" borderId="15" xfId="6" applyNumberFormat="1" applyFont="1" applyFill="1" applyBorder="1" applyAlignment="1">
      <alignment horizontal="right"/>
    </xf>
    <xf numFmtId="166" fontId="1" fillId="0" borderId="15" xfId="6" applyNumberFormat="1" applyFont="1" applyFill="1" applyBorder="1" applyAlignment="1">
      <alignment horizontal="right"/>
    </xf>
    <xf numFmtId="166" fontId="2" fillId="0" borderId="19" xfId="6" applyNumberFormat="1" applyFont="1" applyFill="1" applyBorder="1" applyAlignment="1">
      <alignment horizontal="right"/>
    </xf>
    <xf numFmtId="166" fontId="1" fillId="0" borderId="15" xfId="7" applyNumberFormat="1" applyFont="1" applyFill="1" applyBorder="1" applyAlignment="1">
      <alignment horizontal="right" wrapText="1"/>
    </xf>
    <xf numFmtId="166" fontId="1" fillId="0" borderId="19" xfId="7" applyNumberFormat="1" applyFont="1" applyFill="1" applyBorder="1" applyAlignment="1">
      <alignment horizontal="right" wrapText="1"/>
    </xf>
    <xf numFmtId="166" fontId="2" fillId="0" borderId="15" xfId="7" applyNumberFormat="1" applyFont="1" applyFill="1" applyBorder="1" applyAlignment="1">
      <alignment horizontal="right" wrapText="1"/>
    </xf>
    <xf numFmtId="166" fontId="2" fillId="0" borderId="15" xfId="6" applyNumberFormat="1" applyFont="1" applyFill="1" applyBorder="1" applyAlignment="1">
      <alignment wrapText="1"/>
    </xf>
    <xf numFmtId="166" fontId="2" fillId="0" borderId="15" xfId="1" applyNumberFormat="1" applyFont="1" applyFill="1" applyBorder="1" applyAlignment="1">
      <alignment horizontal="right" wrapText="1"/>
    </xf>
    <xf numFmtId="166" fontId="2" fillId="0" borderId="15" xfId="6" applyNumberFormat="1" applyFont="1" applyFill="1" applyBorder="1" applyAlignment="1">
      <alignment horizontal="right" wrapText="1"/>
    </xf>
    <xf numFmtId="166" fontId="2" fillId="0" borderId="19" xfId="6" applyNumberFormat="1" applyFont="1" applyFill="1" applyBorder="1" applyAlignment="1">
      <alignment horizontal="right" wrapText="1"/>
    </xf>
    <xf numFmtId="166" fontId="1" fillId="0" borderId="15" xfId="1" applyNumberFormat="1" applyFont="1" applyFill="1" applyBorder="1" applyAlignment="1">
      <alignment horizontal="right"/>
    </xf>
    <xf numFmtId="166" fontId="1" fillId="0" borderId="19" xfId="1" applyNumberFormat="1" applyFont="1" applyFill="1" applyBorder="1" applyAlignment="1">
      <alignment horizontal="right"/>
    </xf>
    <xf numFmtId="166" fontId="2" fillId="0" borderId="19" xfId="1" applyNumberFormat="1" applyFont="1" applyFill="1" applyBorder="1" applyAlignment="1">
      <alignment horizontal="right"/>
    </xf>
    <xf numFmtId="166" fontId="2" fillId="0" borderId="15" xfId="1" applyNumberFormat="1" applyFont="1" applyFill="1" applyBorder="1"/>
    <xf numFmtId="166" fontId="1" fillId="0" borderId="15" xfId="6" applyNumberFormat="1" applyFont="1" applyFill="1" applyBorder="1"/>
    <xf numFmtId="164" fontId="1" fillId="0" borderId="15" xfId="6" applyNumberFormat="1" applyFont="1" applyFill="1" applyBorder="1" applyAlignment="1">
      <alignment horizontal="left"/>
    </xf>
    <xf numFmtId="166" fontId="1" fillId="0" borderId="19" xfId="6" applyNumberFormat="1" applyFont="1" applyFill="1" applyBorder="1" applyAlignment="1">
      <alignment horizontal="right"/>
    </xf>
    <xf numFmtId="164" fontId="2" fillId="0" borderId="13" xfId="1" applyNumberFormat="1" applyFont="1" applyFill="1" applyBorder="1" applyAlignment="1">
      <alignment wrapText="1"/>
    </xf>
    <xf numFmtId="164" fontId="2" fillId="0" borderId="15" xfId="1" applyNumberFormat="1" applyFont="1" applyFill="1" applyBorder="1" applyAlignment="1">
      <alignment wrapText="1"/>
    </xf>
    <xf numFmtId="0" fontId="2" fillId="0" borderId="15" xfId="2" applyFont="1" applyFill="1" applyBorder="1" applyAlignment="1">
      <alignment wrapText="1"/>
    </xf>
    <xf numFmtId="0" fontId="2" fillId="0" borderId="15" xfId="2" applyFont="1" applyFill="1" applyBorder="1"/>
    <xf numFmtId="0" fontId="1" fillId="0" borderId="15" xfId="2" applyFont="1" applyFill="1" applyBorder="1" applyAlignment="1">
      <alignment horizontal="right"/>
    </xf>
    <xf numFmtId="164" fontId="1" fillId="0" borderId="15" xfId="1" applyNumberFormat="1" applyFont="1" applyFill="1" applyBorder="1" applyAlignment="1">
      <alignment horizontal="right" wrapText="1"/>
    </xf>
    <xf numFmtId="166" fontId="1" fillId="0" borderId="15" xfId="1" applyNumberFormat="1" applyFont="1" applyFill="1" applyBorder="1" applyAlignment="1">
      <alignment horizontal="right" wrapText="1"/>
    </xf>
    <xf numFmtId="164" fontId="2" fillId="0" borderId="0" xfId="1" applyNumberFormat="1" applyFont="1" applyFill="1" applyBorder="1" applyAlignment="1">
      <alignment wrapText="1"/>
    </xf>
    <xf numFmtId="166" fontId="2" fillId="0" borderId="0" xfId="1" applyNumberFormat="1" applyFont="1" applyFill="1" applyBorder="1" applyAlignment="1">
      <alignment horizontal="right"/>
    </xf>
    <xf numFmtId="166" fontId="1" fillId="0" borderId="0" xfId="1" applyNumberFormat="1" applyFont="1" applyFill="1" applyBorder="1" applyAlignment="1">
      <alignment horizontal="right"/>
    </xf>
    <xf numFmtId="0" fontId="2" fillId="0" borderId="0" xfId="1" applyFont="1" applyFill="1" applyBorder="1"/>
    <xf numFmtId="0" fontId="2" fillId="0" borderId="0" xfId="2" applyFont="1" applyFill="1" applyBorder="1" applyAlignment="1">
      <alignment wrapText="1"/>
    </xf>
    <xf numFmtId="164" fontId="2" fillId="0" borderId="0" xfId="1" applyNumberFormat="1" applyFont="1" applyFill="1" applyBorder="1"/>
    <xf numFmtId="164" fontId="2" fillId="0" borderId="0" xfId="6" applyNumberFormat="1" applyFont="1" applyFill="1" applyBorder="1"/>
    <xf numFmtId="164" fontId="2" fillId="0" borderId="0" xfId="6" applyNumberFormat="1" applyFont="1" applyFill="1" applyBorder="1" applyAlignment="1">
      <alignment wrapText="1"/>
    </xf>
    <xf numFmtId="0" fontId="2" fillId="0" borderId="0" xfId="2" applyFont="1" applyBorder="1" applyAlignment="1">
      <alignment wrapText="1"/>
    </xf>
    <xf numFmtId="0" fontId="2" fillId="0" borderId="0" xfId="2" applyFont="1" applyFill="1" applyBorder="1"/>
    <xf numFmtId="0" fontId="1" fillId="0" borderId="0" xfId="2" applyFont="1" applyFill="1" applyBorder="1" applyAlignment="1">
      <alignment horizontal="right"/>
    </xf>
    <xf numFmtId="0" fontId="8" fillId="0" borderId="15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0" xfId="0" applyFont="1"/>
    <xf numFmtId="0" fontId="1" fillId="0" borderId="15" xfId="6" applyFont="1" applyFill="1" applyBorder="1"/>
    <xf numFmtId="0" fontId="1" fillId="0" borderId="15" xfId="6" applyFont="1" applyFill="1" applyBorder="1" applyAlignment="1">
      <alignment wrapText="1"/>
    </xf>
    <xf numFmtId="164" fontId="1" fillId="0" borderId="15" xfId="6" applyNumberFormat="1" applyFont="1" applyFill="1" applyBorder="1" applyAlignment="1">
      <alignment horizontal="right"/>
    </xf>
    <xf numFmtId="0" fontId="1" fillId="0" borderId="15" xfId="6" applyFont="1" applyFill="1" applyBorder="1" applyAlignment="1">
      <alignment horizontal="left" wrapText="1"/>
    </xf>
    <xf numFmtId="0" fontId="1" fillId="0" borderId="15" xfId="6" applyFont="1" applyFill="1" applyBorder="1" applyAlignment="1">
      <alignment horizontal="left"/>
    </xf>
    <xf numFmtId="0" fontId="1" fillId="0" borderId="15" xfId="6" applyFont="1" applyFill="1" applyBorder="1" applyAlignment="1"/>
    <xf numFmtId="0" fontId="1" fillId="0" borderId="15" xfId="2" applyFont="1" applyFill="1" applyBorder="1" applyAlignment="1">
      <alignment horizontal="left" wrapText="1"/>
    </xf>
    <xf numFmtId="164" fontId="1" fillId="0" borderId="15" xfId="1" applyNumberFormat="1" applyFont="1" applyFill="1" applyBorder="1" applyAlignment="1">
      <alignment horizontal="left" wrapText="1"/>
    </xf>
    <xf numFmtId="166" fontId="2" fillId="0" borderId="19" xfId="6" applyNumberFormat="1" applyFont="1" applyFill="1" applyBorder="1"/>
    <xf numFmtId="164" fontId="1" fillId="0" borderId="15" xfId="1" applyNumberFormat="1" applyFont="1" applyFill="1" applyBorder="1" applyAlignment="1">
      <alignment horizontal="right"/>
    </xf>
    <xf numFmtId="0" fontId="1" fillId="0" borderId="15" xfId="6" applyFont="1" applyFill="1" applyBorder="1" applyAlignment="1">
      <alignment horizontal="left" vertical="top" wrapText="1"/>
    </xf>
    <xf numFmtId="166" fontId="1" fillId="0" borderId="15" xfId="1" applyNumberFormat="1" applyFont="1" applyFill="1" applyBorder="1"/>
    <xf numFmtId="0" fontId="1" fillId="0" borderId="15" xfId="2" applyFont="1" applyFill="1" applyBorder="1" applyAlignment="1">
      <alignment wrapText="1"/>
    </xf>
    <xf numFmtId="0" fontId="12" fillId="0" borderId="0" xfId="0" applyFont="1" applyFill="1" applyAlignment="1"/>
    <xf numFmtId="0" fontId="13" fillId="0" borderId="15" xfId="0" applyFont="1" applyFill="1" applyBorder="1" applyAlignment="1">
      <alignment horizontal="center"/>
    </xf>
    <xf numFmtId="164" fontId="13" fillId="0" borderId="15" xfId="0" applyNumberFormat="1" applyFont="1" applyFill="1" applyBorder="1"/>
    <xf numFmtId="0" fontId="18" fillId="0" borderId="0" xfId="0" applyFont="1" applyFill="1"/>
    <xf numFmtId="164" fontId="13" fillId="0" borderId="15" xfId="1" applyNumberFormat="1" applyFont="1" applyFill="1" applyBorder="1" applyAlignment="1">
      <alignment vertical="top" wrapText="1"/>
    </xf>
    <xf numFmtId="166" fontId="13" fillId="0" borderId="15" xfId="0" applyNumberFormat="1" applyFont="1" applyFill="1" applyBorder="1"/>
    <xf numFmtId="164" fontId="13" fillId="0" borderId="15" xfId="0" applyNumberFormat="1" applyFont="1" applyFill="1" applyBorder="1" applyAlignment="1">
      <alignment horizontal="left" vertical="top" wrapText="1"/>
    </xf>
    <xf numFmtId="0" fontId="18" fillId="0" borderId="15" xfId="0" applyFont="1" applyFill="1" applyBorder="1"/>
    <xf numFmtId="0" fontId="12" fillId="0" borderId="15" xfId="0" applyFont="1" applyFill="1" applyBorder="1" applyAlignment="1">
      <alignment horizontal="right"/>
    </xf>
    <xf numFmtId="0" fontId="13" fillId="0" borderId="0" xfId="0" applyFont="1" applyFill="1"/>
    <xf numFmtId="164" fontId="18" fillId="0" borderId="0" xfId="0" applyNumberFormat="1" applyFont="1" applyFill="1"/>
    <xf numFmtId="164" fontId="13" fillId="0" borderId="0" xfId="0" applyNumberFormat="1" applyFont="1" applyFill="1"/>
    <xf numFmtId="1" fontId="13" fillId="0" borderId="0" xfId="0" applyNumberFormat="1" applyFont="1" applyFill="1"/>
    <xf numFmtId="0" fontId="7" fillId="0" borderId="25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30" xfId="1" applyFont="1" applyFill="1" applyBorder="1"/>
    <xf numFmtId="164" fontId="8" fillId="0" borderId="30" xfId="0" applyNumberFormat="1" applyFont="1" applyFill="1" applyBorder="1" applyAlignment="1">
      <alignment horizontal="right"/>
    </xf>
    <xf numFmtId="164" fontId="8" fillId="0" borderId="15" xfId="0" applyNumberFormat="1" applyFont="1" applyFill="1" applyBorder="1" applyAlignment="1">
      <alignment horizontal="right"/>
    </xf>
    <xf numFmtId="164" fontId="8" fillId="0" borderId="31" xfId="0" applyNumberFormat="1" applyFont="1" applyFill="1" applyBorder="1" applyAlignment="1">
      <alignment horizontal="right"/>
    </xf>
    <xf numFmtId="164" fontId="8" fillId="0" borderId="20" xfId="0" applyNumberFormat="1" applyFont="1" applyFill="1" applyBorder="1" applyAlignment="1">
      <alignment horizontal="right"/>
    </xf>
    <xf numFmtId="164" fontId="8" fillId="0" borderId="19" xfId="0" applyNumberFormat="1" applyFont="1" applyFill="1" applyBorder="1" applyAlignment="1">
      <alignment horizontal="right"/>
    </xf>
    <xf numFmtId="0" fontId="7" fillId="0" borderId="30" xfId="1" applyFont="1" applyFill="1" applyBorder="1"/>
    <xf numFmtId="164" fontId="7" fillId="0" borderId="30" xfId="0" applyNumberFormat="1" applyFont="1" applyFill="1" applyBorder="1" applyAlignment="1">
      <alignment horizontal="right"/>
    </xf>
    <xf numFmtId="164" fontId="7" fillId="0" borderId="15" xfId="0" applyNumberFormat="1" applyFont="1" applyFill="1" applyBorder="1" applyAlignment="1">
      <alignment horizontal="right"/>
    </xf>
    <xf numFmtId="164" fontId="7" fillId="0" borderId="31" xfId="0" applyNumberFormat="1" applyFont="1" applyFill="1" applyBorder="1" applyAlignment="1">
      <alignment horizontal="right"/>
    </xf>
    <xf numFmtId="164" fontId="7" fillId="0" borderId="20" xfId="0" applyNumberFormat="1" applyFont="1" applyFill="1" applyBorder="1" applyAlignment="1">
      <alignment horizontal="right"/>
    </xf>
    <xf numFmtId="164" fontId="7" fillId="0" borderId="19" xfId="0" applyNumberFormat="1" applyFont="1" applyFill="1" applyBorder="1" applyAlignment="1">
      <alignment horizontal="right"/>
    </xf>
    <xf numFmtId="164" fontId="7" fillId="0" borderId="0" xfId="0" applyNumberFormat="1" applyFont="1" applyFill="1"/>
    <xf numFmtId="164" fontId="7" fillId="0" borderId="35" xfId="0" applyNumberFormat="1" applyFont="1" applyFill="1" applyBorder="1"/>
    <xf numFmtId="164" fontId="7" fillId="0" borderId="36" xfId="0" applyNumberFormat="1" applyFont="1" applyFill="1" applyBorder="1"/>
    <xf numFmtId="164" fontId="7" fillId="0" borderId="36" xfId="0" applyNumberFormat="1" applyFont="1" applyFill="1" applyBorder="1" applyAlignment="1">
      <alignment horizontal="right"/>
    </xf>
    <xf numFmtId="164" fontId="7" fillId="0" borderId="37" xfId="0" applyNumberFormat="1" applyFont="1" applyFill="1" applyBorder="1"/>
    <xf numFmtId="164" fontId="7" fillId="0" borderId="38" xfId="0" applyNumberFormat="1" applyFont="1" applyFill="1" applyBorder="1"/>
    <xf numFmtId="164" fontId="7" fillId="0" borderId="34" xfId="0" applyNumberFormat="1" applyFont="1" applyFill="1" applyBorder="1"/>
    <xf numFmtId="164" fontId="8" fillId="0" borderId="40" xfId="0" applyNumberFormat="1" applyFont="1" applyFill="1" applyBorder="1"/>
    <xf numFmtId="0" fontId="8" fillId="0" borderId="41" xfId="0" applyFont="1" applyFill="1" applyBorder="1"/>
    <xf numFmtId="0" fontId="19" fillId="0" borderId="40" xfId="0" applyFont="1" applyFill="1" applyBorder="1"/>
    <xf numFmtId="164" fontId="20" fillId="0" borderId="40" xfId="0" applyNumberFormat="1" applyFont="1" applyFill="1" applyBorder="1"/>
    <xf numFmtId="164" fontId="20" fillId="0" borderId="0" xfId="0" applyNumberFormat="1" applyFont="1" applyFill="1" applyBorder="1"/>
    <xf numFmtId="0" fontId="20" fillId="0" borderId="0" xfId="0" applyFont="1" applyFill="1" applyBorder="1"/>
    <xf numFmtId="0" fontId="20" fillId="0" borderId="41" xfId="0" applyFont="1" applyFill="1" applyBorder="1"/>
    <xf numFmtId="0" fontId="20" fillId="0" borderId="40" xfId="0" applyFont="1" applyFill="1" applyBorder="1"/>
    <xf numFmtId="0" fontId="20" fillId="0" borderId="0" xfId="0" applyFont="1" applyFill="1"/>
    <xf numFmtId="164" fontId="20" fillId="0" borderId="0" xfId="0" applyNumberFormat="1" applyFont="1" applyFill="1"/>
    <xf numFmtId="164" fontId="21" fillId="0" borderId="40" xfId="0" applyNumberFormat="1" applyFont="1" applyFill="1" applyBorder="1"/>
    <xf numFmtId="164" fontId="21" fillId="0" borderId="0" xfId="0" applyNumberFormat="1" applyFont="1" applyFill="1" applyBorder="1"/>
    <xf numFmtId="164" fontId="21" fillId="0" borderId="41" xfId="0" applyNumberFormat="1" applyFont="1" applyFill="1" applyBorder="1"/>
    <xf numFmtId="164" fontId="21" fillId="0" borderId="0" xfId="0" applyNumberFormat="1" applyFont="1" applyFill="1"/>
    <xf numFmtId="164" fontId="22" fillId="0" borderId="0" xfId="0" applyNumberFormat="1" applyFont="1" applyFill="1"/>
    <xf numFmtId="0" fontId="11" fillId="0" borderId="0" xfId="0" applyFont="1" applyAlignment="1">
      <alignment horizontal="right"/>
    </xf>
    <xf numFmtId="0" fontId="14" fillId="0" borderId="0" xfId="0" applyFont="1" applyAlignment="1"/>
    <xf numFmtId="0" fontId="11" fillId="0" borderId="2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64" fontId="2" fillId="0" borderId="2" xfId="7" applyNumberFormat="1" applyFont="1" applyFill="1" applyBorder="1" applyAlignment="1">
      <alignment horizontal="left"/>
    </xf>
    <xf numFmtId="164" fontId="2" fillId="0" borderId="3" xfId="7" applyNumberFormat="1" applyFont="1" applyFill="1" applyBorder="1" applyAlignment="1">
      <alignment horizontal="left"/>
    </xf>
    <xf numFmtId="0" fontId="2" fillId="0" borderId="0" xfId="6" applyFont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4" fontId="2" fillId="0" borderId="8" xfId="0" applyNumberFormat="1" applyFont="1" applyFill="1" applyBorder="1" applyAlignment="1">
      <alignment horizontal="center" wrapText="1"/>
    </xf>
    <xf numFmtId="14" fontId="2" fillId="0" borderId="1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right"/>
    </xf>
    <xf numFmtId="0" fontId="8" fillId="0" borderId="15" xfId="0" applyFont="1" applyFill="1" applyBorder="1" applyAlignment="1">
      <alignment horizontal="center" vertical="center" textRotation="90" wrapText="1"/>
    </xf>
    <xf numFmtId="0" fontId="8" fillId="0" borderId="15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textRotation="90" wrapText="1"/>
    </xf>
    <xf numFmtId="0" fontId="8" fillId="0" borderId="22" xfId="0" applyFont="1" applyFill="1" applyBorder="1" applyAlignment="1">
      <alignment horizontal="center" vertical="center" textRotation="90" wrapText="1"/>
    </xf>
    <xf numFmtId="0" fontId="8" fillId="0" borderId="13" xfId="0" applyFont="1" applyFill="1" applyBorder="1" applyAlignment="1">
      <alignment horizontal="center" vertical="center" textRotation="90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/>
    </xf>
    <xf numFmtId="0" fontId="8" fillId="0" borderId="20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8" fillId="0" borderId="13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textRotation="90" wrapText="1"/>
    </xf>
    <xf numFmtId="0" fontId="8" fillId="0" borderId="13" xfId="0" applyFont="1" applyFill="1" applyBorder="1" applyAlignment="1">
      <alignment vertical="center" textRotation="90" wrapText="1"/>
    </xf>
    <xf numFmtId="0" fontId="8" fillId="0" borderId="15" xfId="0" applyFont="1" applyFill="1" applyBorder="1" applyAlignment="1">
      <alignment vertical="center" textRotation="90" wrapText="1"/>
    </xf>
    <xf numFmtId="0" fontId="8" fillId="0" borderId="21" xfId="0" applyFont="1" applyFill="1" applyBorder="1" applyAlignment="1">
      <alignment vertical="center" textRotation="90" wrapText="1"/>
    </xf>
    <xf numFmtId="0" fontId="8" fillId="0" borderId="1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right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0" fontId="8" fillId="0" borderId="31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wrapText="1"/>
    </xf>
    <xf numFmtId="0" fontId="8" fillId="0" borderId="14" xfId="0" applyFont="1" applyFill="1" applyBorder="1" applyAlignment="1">
      <alignment horizontal="center" wrapText="1"/>
    </xf>
    <xf numFmtId="0" fontId="8" fillId="0" borderId="15" xfId="0" applyNumberFormat="1" applyFont="1" applyFill="1" applyBorder="1" applyAlignment="1">
      <alignment horizontal="center" wrapText="1"/>
    </xf>
    <xf numFmtId="0" fontId="8" fillId="0" borderId="16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 wrapText="1"/>
    </xf>
    <xf numFmtId="14" fontId="8" fillId="0" borderId="15" xfId="0" applyNumberFormat="1" applyFont="1" applyFill="1" applyBorder="1" applyAlignment="1">
      <alignment horizontal="center" wrapText="1"/>
    </xf>
  </cellXfs>
  <cellStyles count="8">
    <cellStyle name="Įprastas 3" xfId="6"/>
    <cellStyle name="Normal" xfId="0" builtinId="0"/>
    <cellStyle name="Normal 4" xfId="3"/>
    <cellStyle name="Normal 5" xfId="5"/>
    <cellStyle name="Normal_biudžetas 6" xfId="2"/>
    <cellStyle name="Normal_projektas" xfId="7"/>
    <cellStyle name="Normal_Sheet1" xfId="1"/>
    <cellStyle name="Paprastas_2008 m biudžeta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lanta/Desktop/2013%20m%20biudzeto%20paaiskinamosios%20lente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urinaviciene/Desktop/MKskai&#269;/MK2012m.%208%20m&#279;n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_2/My%20Documents/Valstybes%20deleguotos%20funkcijos/2008%20m%20biudzeto%20projekta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3 m sav pask"/>
      <sheetName val="2013 m sav pask su MMA1000"/>
      <sheetName val="2013 m truksta lėšų suma mėn"/>
      <sheetName val="2013 m trukst lesu suma ir paly"/>
      <sheetName val="2013 m sav pask (su atst koef)"/>
      <sheetName val="2013-2012 m palyg"/>
      <sheetName val="2013-2012 m palyg (palyg sal)"/>
      <sheetName val="2013-2012 palyg (su ats koef)"/>
    </sheetNames>
    <sheetDataSet>
      <sheetData sheetId="0" refreshError="1"/>
      <sheetData sheetId="1">
        <row r="9">
          <cell r="C9">
            <v>42.51</v>
          </cell>
          <cell r="D9">
            <v>-11.99</v>
          </cell>
          <cell r="E9">
            <v>30.519999999999996</v>
          </cell>
          <cell r="F9">
            <v>486.09999999999997</v>
          </cell>
          <cell r="G9">
            <v>491.2</v>
          </cell>
        </row>
        <row r="10">
          <cell r="C10">
            <v>49.33</v>
          </cell>
          <cell r="D10">
            <v>-12.05</v>
          </cell>
          <cell r="E10">
            <v>37.28</v>
          </cell>
          <cell r="F10">
            <v>618.19999999999993</v>
          </cell>
          <cell r="G10">
            <v>616.9</v>
          </cell>
        </row>
        <row r="11">
          <cell r="C11">
            <v>36.65</v>
          </cell>
          <cell r="D11">
            <v>-9.2899999999999991</v>
          </cell>
          <cell r="E11">
            <v>27.36</v>
          </cell>
          <cell r="F11">
            <v>406.9</v>
          </cell>
          <cell r="G11">
            <v>403.7</v>
          </cell>
        </row>
        <row r="12">
          <cell r="C12">
            <v>39.43</v>
          </cell>
          <cell r="D12">
            <v>-11.28</v>
          </cell>
          <cell r="E12">
            <v>28.15</v>
          </cell>
          <cell r="F12">
            <v>426.29999999999995</v>
          </cell>
          <cell r="G12">
            <v>433.9</v>
          </cell>
        </row>
        <row r="13">
          <cell r="C13">
            <v>46.65</v>
          </cell>
          <cell r="D13">
            <v>-15</v>
          </cell>
          <cell r="E13">
            <v>31.65</v>
          </cell>
          <cell r="F13">
            <v>476.9</v>
          </cell>
          <cell r="G13">
            <v>478.9</v>
          </cell>
        </row>
        <row r="14">
          <cell r="C14">
            <v>50.49</v>
          </cell>
          <cell r="D14">
            <v>-11.41</v>
          </cell>
          <cell r="E14">
            <v>39.08</v>
          </cell>
          <cell r="F14">
            <v>642.29999999999995</v>
          </cell>
          <cell r="G14">
            <v>645.5</v>
          </cell>
        </row>
        <row r="15">
          <cell r="C15">
            <v>47.9</v>
          </cell>
          <cell r="D15">
            <v>-13.72</v>
          </cell>
          <cell r="E15">
            <v>34.18</v>
          </cell>
          <cell r="F15">
            <v>505.59999999999997</v>
          </cell>
          <cell r="G15">
            <v>513.4</v>
          </cell>
        </row>
        <row r="17">
          <cell r="C17">
            <v>23.93</v>
          </cell>
          <cell r="D17">
            <v>-6.3</v>
          </cell>
          <cell r="E17">
            <v>17.63</v>
          </cell>
          <cell r="F17">
            <v>269.3</v>
          </cell>
          <cell r="G17">
            <v>271.10000000000002</v>
          </cell>
        </row>
        <row r="18">
          <cell r="C18">
            <v>30</v>
          </cell>
          <cell r="D18">
            <v>-7.35</v>
          </cell>
          <cell r="E18">
            <v>22.65</v>
          </cell>
          <cell r="F18">
            <v>349.9</v>
          </cell>
          <cell r="G18">
            <v>350.09999999999997</v>
          </cell>
        </row>
        <row r="19">
          <cell r="C19">
            <v>20.5</v>
          </cell>
          <cell r="D19">
            <v>-5.0199999999999996</v>
          </cell>
          <cell r="E19">
            <v>15.48</v>
          </cell>
          <cell r="F19">
            <v>233.9</v>
          </cell>
          <cell r="G19">
            <v>234.79999999999998</v>
          </cell>
        </row>
        <row r="21">
          <cell r="C21">
            <v>36.5</v>
          </cell>
          <cell r="D21">
            <v>-10.39</v>
          </cell>
          <cell r="E21">
            <v>26.11</v>
          </cell>
          <cell r="F21">
            <v>395.20000000000005</v>
          </cell>
          <cell r="G21">
            <v>394.6</v>
          </cell>
        </row>
        <row r="23">
          <cell r="C23">
            <v>41.5</v>
          </cell>
          <cell r="D23">
            <v>-11</v>
          </cell>
          <cell r="E23">
            <v>30.5</v>
          </cell>
          <cell r="F23">
            <v>434.5</v>
          </cell>
          <cell r="G23">
            <v>403.09999999999997</v>
          </cell>
        </row>
        <row r="24">
          <cell r="C24">
            <v>27.85</v>
          </cell>
          <cell r="D24">
            <v>-8.5</v>
          </cell>
          <cell r="E24">
            <v>19.350000000000001</v>
          </cell>
          <cell r="F24">
            <v>271.5</v>
          </cell>
          <cell r="G24">
            <v>246.60000000000002</v>
          </cell>
        </row>
        <row r="25">
          <cell r="C25">
            <v>43.5</v>
          </cell>
          <cell r="D25">
            <v>-12.25</v>
          </cell>
          <cell r="E25">
            <v>31.25</v>
          </cell>
          <cell r="F25">
            <v>410.79999999999995</v>
          </cell>
          <cell r="G25">
            <v>404.4</v>
          </cell>
        </row>
        <row r="26">
          <cell r="C26">
            <v>34.25</v>
          </cell>
          <cell r="D26">
            <v>-10.81</v>
          </cell>
          <cell r="E26">
            <v>23.439999999999998</v>
          </cell>
          <cell r="F26">
            <v>323.2</v>
          </cell>
          <cell r="G26">
            <v>316.7</v>
          </cell>
        </row>
        <row r="27">
          <cell r="C27">
            <v>61.75</v>
          </cell>
          <cell r="D27">
            <v>-13.5</v>
          </cell>
          <cell r="E27">
            <v>48.25</v>
          </cell>
          <cell r="F27">
            <v>613.29999999999995</v>
          </cell>
          <cell r="G27">
            <v>594.5</v>
          </cell>
        </row>
        <row r="28">
          <cell r="C28">
            <v>33</v>
          </cell>
          <cell r="D28">
            <v>-9.75</v>
          </cell>
          <cell r="E28">
            <v>23.25</v>
          </cell>
          <cell r="F28">
            <v>336.1</v>
          </cell>
          <cell r="G28">
            <v>317.3</v>
          </cell>
        </row>
        <row r="29">
          <cell r="C29">
            <v>53.75</v>
          </cell>
          <cell r="D29">
            <v>-13.5</v>
          </cell>
          <cell r="E29">
            <v>40.25</v>
          </cell>
          <cell r="F29">
            <v>530.1</v>
          </cell>
          <cell r="G29">
            <v>515.29999999999995</v>
          </cell>
        </row>
        <row r="30">
          <cell r="C30">
            <v>41.25</v>
          </cell>
          <cell r="D30">
            <v>-13</v>
          </cell>
          <cell r="E30">
            <v>28.25</v>
          </cell>
          <cell r="F30">
            <v>394.5</v>
          </cell>
          <cell r="G30">
            <v>371.8</v>
          </cell>
        </row>
        <row r="31">
          <cell r="C31">
            <v>65.27</v>
          </cell>
          <cell r="D31">
            <v>-19.399999999999999</v>
          </cell>
          <cell r="E31">
            <v>45.87</v>
          </cell>
          <cell r="F31">
            <v>658.3</v>
          </cell>
          <cell r="G31">
            <v>624.99999999999989</v>
          </cell>
        </row>
        <row r="32">
          <cell r="C32">
            <v>22.5</v>
          </cell>
          <cell r="D32">
            <v>-7.25</v>
          </cell>
          <cell r="E32">
            <v>15.25</v>
          </cell>
          <cell r="F32">
            <v>240.4</v>
          </cell>
          <cell r="G32">
            <v>221.7</v>
          </cell>
        </row>
        <row r="33">
          <cell r="C33">
            <v>24.25</v>
          </cell>
          <cell r="D33">
            <v>-5.5</v>
          </cell>
          <cell r="E33">
            <v>18.75</v>
          </cell>
          <cell r="F33">
            <v>250.5</v>
          </cell>
          <cell r="G33">
            <v>245.10000000000002</v>
          </cell>
        </row>
        <row r="34">
          <cell r="C34">
            <v>22.75</v>
          </cell>
          <cell r="D34">
            <v>-5.5</v>
          </cell>
          <cell r="E34">
            <v>17.25</v>
          </cell>
          <cell r="F34">
            <v>233</v>
          </cell>
          <cell r="G34">
            <v>230.9</v>
          </cell>
        </row>
        <row r="35">
          <cell r="C35">
            <v>37.369999999999997</v>
          </cell>
          <cell r="D35">
            <v>-10.36</v>
          </cell>
          <cell r="E35">
            <v>27.009999999999998</v>
          </cell>
          <cell r="F35">
            <v>400.6</v>
          </cell>
          <cell r="G35">
            <v>398.70000000000005</v>
          </cell>
        </row>
        <row r="37">
          <cell r="C37">
            <v>17.75</v>
          </cell>
          <cell r="D37">
            <v>-5</v>
          </cell>
          <cell r="E37">
            <v>12.75</v>
          </cell>
          <cell r="F37">
            <v>161.5</v>
          </cell>
          <cell r="G37">
            <v>161.1</v>
          </cell>
        </row>
        <row r="38">
          <cell r="C38">
            <v>21</v>
          </cell>
          <cell r="D38">
            <v>-4.5</v>
          </cell>
          <cell r="E38">
            <v>16.5</v>
          </cell>
          <cell r="F38">
            <v>217.8</v>
          </cell>
          <cell r="G38">
            <v>207.8</v>
          </cell>
        </row>
        <row r="39">
          <cell r="C39">
            <v>24.5</v>
          </cell>
          <cell r="D39">
            <v>-6.5</v>
          </cell>
          <cell r="E39">
            <v>18</v>
          </cell>
          <cell r="F39">
            <v>241.3</v>
          </cell>
          <cell r="G39">
            <v>233.10000000000002</v>
          </cell>
        </row>
        <row r="41">
          <cell r="C41">
            <v>17.75</v>
          </cell>
          <cell r="D41">
            <v>-4.75</v>
          </cell>
          <cell r="E41">
            <v>13</v>
          </cell>
          <cell r="F41">
            <v>194.4</v>
          </cell>
          <cell r="G41">
            <v>188</v>
          </cell>
        </row>
        <row r="42">
          <cell r="C42">
            <v>13.25</v>
          </cell>
          <cell r="D42">
            <v>-5.5</v>
          </cell>
          <cell r="E42">
            <v>7.75</v>
          </cell>
          <cell r="F42">
            <v>99.4</v>
          </cell>
          <cell r="G42">
            <v>94</v>
          </cell>
        </row>
        <row r="43">
          <cell r="C43">
            <v>90.21</v>
          </cell>
          <cell r="D43">
            <v>-79.5</v>
          </cell>
          <cell r="E43">
            <v>10.709999999999994</v>
          </cell>
          <cell r="F43">
            <v>234.2</v>
          </cell>
          <cell r="G43">
            <v>240.2</v>
          </cell>
        </row>
        <row r="44">
          <cell r="C44">
            <v>22.5</v>
          </cell>
          <cell r="D44">
            <v>-8</v>
          </cell>
          <cell r="E44">
            <v>14.5</v>
          </cell>
          <cell r="F44">
            <v>324.20000000000005</v>
          </cell>
          <cell r="G44">
            <v>298.5</v>
          </cell>
        </row>
        <row r="45">
          <cell r="C45">
            <v>7.25</v>
          </cell>
          <cell r="E45">
            <v>7.25</v>
          </cell>
          <cell r="F45">
            <v>301.40000000000003</v>
          </cell>
          <cell r="G45">
            <v>300.8</v>
          </cell>
        </row>
        <row r="46">
          <cell r="C46">
            <v>9</v>
          </cell>
          <cell r="E46">
            <v>9</v>
          </cell>
          <cell r="F46">
            <v>434.9</v>
          </cell>
          <cell r="G46">
            <v>427.70000000000005</v>
          </cell>
        </row>
        <row r="47">
          <cell r="C47">
            <v>16</v>
          </cell>
          <cell r="E47">
            <v>16</v>
          </cell>
          <cell r="F47">
            <v>1523.9999999999998</v>
          </cell>
          <cell r="G47">
            <v>1517.4999999999998</v>
          </cell>
        </row>
        <row r="48">
          <cell r="C48">
            <v>22.5</v>
          </cell>
          <cell r="E48">
            <v>22.5</v>
          </cell>
          <cell r="F48">
            <v>686.3</v>
          </cell>
          <cell r="G48">
            <v>687.4</v>
          </cell>
        </row>
        <row r="49">
          <cell r="C49">
            <v>14.75</v>
          </cell>
          <cell r="D49">
            <v>-5</v>
          </cell>
          <cell r="E49">
            <v>9.75</v>
          </cell>
          <cell r="F49">
            <v>224.9</v>
          </cell>
          <cell r="G49">
            <v>216.4</v>
          </cell>
        </row>
        <row r="51">
          <cell r="C51">
            <v>37</v>
          </cell>
          <cell r="E51">
            <v>37</v>
          </cell>
          <cell r="F51">
            <v>691.7</v>
          </cell>
          <cell r="G51">
            <v>652.4</v>
          </cell>
        </row>
        <row r="52">
          <cell r="C52">
            <v>12.5</v>
          </cell>
          <cell r="E52">
            <v>12.5</v>
          </cell>
          <cell r="F52">
            <v>207.1</v>
          </cell>
          <cell r="G52">
            <v>204.5</v>
          </cell>
        </row>
        <row r="53">
          <cell r="C53">
            <v>7.2</v>
          </cell>
          <cell r="E53">
            <v>7.2</v>
          </cell>
          <cell r="F53">
            <v>122.4</v>
          </cell>
          <cell r="G53">
            <v>122.5</v>
          </cell>
        </row>
        <row r="54">
          <cell r="C54">
            <v>7.5</v>
          </cell>
          <cell r="E54">
            <v>7.5</v>
          </cell>
          <cell r="F54">
            <v>133.4</v>
          </cell>
          <cell r="G54">
            <v>134</v>
          </cell>
        </row>
        <row r="55">
          <cell r="C55">
            <v>6</v>
          </cell>
          <cell r="E55">
            <v>6</v>
          </cell>
          <cell r="F55">
            <v>95.1</v>
          </cell>
          <cell r="G55">
            <v>98.199999999999989</v>
          </cell>
        </row>
        <row r="56">
          <cell r="C56">
            <v>5.5</v>
          </cell>
          <cell r="E56">
            <v>5.5</v>
          </cell>
          <cell r="F56">
            <v>84.2</v>
          </cell>
          <cell r="G56">
            <v>90.7</v>
          </cell>
        </row>
        <row r="57">
          <cell r="C57">
            <v>65.5</v>
          </cell>
          <cell r="E57">
            <v>65.5</v>
          </cell>
          <cell r="F57">
            <v>1116.0999999999999</v>
          </cell>
          <cell r="G57">
            <v>1043.8</v>
          </cell>
        </row>
        <row r="58">
          <cell r="C58">
            <v>24.5</v>
          </cell>
          <cell r="E58">
            <v>24.5</v>
          </cell>
          <cell r="F58">
            <v>405.90000000000003</v>
          </cell>
          <cell r="G58">
            <v>408.90000000000003</v>
          </cell>
        </row>
        <row r="59">
          <cell r="C59">
            <v>84</v>
          </cell>
          <cell r="D59">
            <v>-83</v>
          </cell>
          <cell r="E59">
            <v>1</v>
          </cell>
          <cell r="F59">
            <v>10.8</v>
          </cell>
          <cell r="G59">
            <v>12.1</v>
          </cell>
        </row>
        <row r="60">
          <cell r="C60">
            <v>36.75</v>
          </cell>
          <cell r="D60">
            <v>-14.22</v>
          </cell>
          <cell r="E60">
            <v>22.53</v>
          </cell>
          <cell r="F60">
            <v>740.8</v>
          </cell>
          <cell r="G60">
            <v>716.3</v>
          </cell>
        </row>
        <row r="61">
          <cell r="C61">
            <v>28.75</v>
          </cell>
          <cell r="D61">
            <v>-16.399999999999999</v>
          </cell>
          <cell r="E61">
            <v>12.350000000000001</v>
          </cell>
          <cell r="F61">
            <v>231.4</v>
          </cell>
          <cell r="G61">
            <v>216.8</v>
          </cell>
        </row>
        <row r="62">
          <cell r="C62">
            <v>29.66</v>
          </cell>
          <cell r="D62">
            <v>-9.58</v>
          </cell>
          <cell r="E62">
            <v>20.079999999999998</v>
          </cell>
          <cell r="F62">
            <v>323.8</v>
          </cell>
          <cell r="G62">
            <v>314.7</v>
          </cell>
        </row>
        <row r="63">
          <cell r="C63">
            <v>29.43</v>
          </cell>
          <cell r="D63">
            <v>-6.58</v>
          </cell>
          <cell r="E63">
            <v>22.85</v>
          </cell>
          <cell r="F63">
            <v>352.79999999999995</v>
          </cell>
          <cell r="G63">
            <v>348</v>
          </cell>
        </row>
        <row r="64">
          <cell r="C64">
            <v>30</v>
          </cell>
          <cell r="E64">
            <v>30</v>
          </cell>
          <cell r="F64">
            <v>612.4</v>
          </cell>
          <cell r="G64">
            <v>617.5</v>
          </cell>
        </row>
        <row r="65">
          <cell r="C65">
            <v>19</v>
          </cell>
          <cell r="D65">
            <v>-12</v>
          </cell>
          <cell r="E65">
            <v>7</v>
          </cell>
          <cell r="F65">
            <v>153.30000000000001</v>
          </cell>
          <cell r="G65">
            <v>134.1</v>
          </cell>
        </row>
        <row r="66">
          <cell r="C66">
            <v>4</v>
          </cell>
          <cell r="E66">
            <v>4</v>
          </cell>
          <cell r="F66">
            <v>177.9</v>
          </cell>
          <cell r="G66">
            <v>177.9</v>
          </cell>
        </row>
        <row r="68">
          <cell r="C68">
            <v>136.5</v>
          </cell>
          <cell r="D68">
            <v>-32.35</v>
          </cell>
          <cell r="E68">
            <v>104.15</v>
          </cell>
          <cell r="F68">
            <v>3064.9</v>
          </cell>
          <cell r="G68">
            <v>3064.9</v>
          </cell>
        </row>
        <row r="69">
          <cell r="C69">
            <v>30.75</v>
          </cell>
          <cell r="D69">
            <v>-5.81</v>
          </cell>
          <cell r="E69">
            <v>24.94</v>
          </cell>
          <cell r="F69">
            <v>428.7</v>
          </cell>
          <cell r="G69">
            <v>423</v>
          </cell>
        </row>
        <row r="70">
          <cell r="C70">
            <v>17.55</v>
          </cell>
          <cell r="D70">
            <v>1.5</v>
          </cell>
          <cell r="E70">
            <v>19.05</v>
          </cell>
          <cell r="F70">
            <v>280.29999999999995</v>
          </cell>
          <cell r="G70">
            <v>280.09999999999997</v>
          </cell>
        </row>
        <row r="71">
          <cell r="C71">
            <v>11.35</v>
          </cell>
          <cell r="D71">
            <v>4.0000000000000036E-2</v>
          </cell>
          <cell r="E71">
            <v>11.39</v>
          </cell>
          <cell r="F71">
            <v>193</v>
          </cell>
          <cell r="G71">
            <v>191.5</v>
          </cell>
        </row>
        <row r="72">
          <cell r="C72">
            <v>14.5</v>
          </cell>
          <cell r="D72">
            <v>-3.3</v>
          </cell>
          <cell r="E72">
            <v>11.2</v>
          </cell>
          <cell r="F72">
            <v>183.5</v>
          </cell>
          <cell r="G72">
            <v>179.5</v>
          </cell>
        </row>
        <row r="73">
          <cell r="C73">
            <v>15.75</v>
          </cell>
          <cell r="D73">
            <v>-1.4299999999999997</v>
          </cell>
          <cell r="E73">
            <v>14.32</v>
          </cell>
          <cell r="F73">
            <v>217.1</v>
          </cell>
          <cell r="G73">
            <v>217.70000000000002</v>
          </cell>
        </row>
        <row r="74">
          <cell r="C74">
            <v>15</v>
          </cell>
          <cell r="D74">
            <v>-2.1399999999999997</v>
          </cell>
          <cell r="E74">
            <v>12.86</v>
          </cell>
          <cell r="F74">
            <v>202.89999999999998</v>
          </cell>
          <cell r="G74">
            <v>198.79999999999998</v>
          </cell>
        </row>
        <row r="75">
          <cell r="C75">
            <v>10</v>
          </cell>
          <cell r="D75">
            <v>-1.85</v>
          </cell>
          <cell r="E75">
            <v>8.15</v>
          </cell>
          <cell r="F75">
            <v>142.30000000000001</v>
          </cell>
          <cell r="G75">
            <v>136.6</v>
          </cell>
        </row>
        <row r="76">
          <cell r="C76">
            <v>11.5</v>
          </cell>
          <cell r="D76">
            <v>0</v>
          </cell>
          <cell r="E76">
            <v>11.5</v>
          </cell>
          <cell r="F76">
            <v>188</v>
          </cell>
          <cell r="G76">
            <v>182.5</v>
          </cell>
        </row>
        <row r="77">
          <cell r="C77">
            <v>21.25</v>
          </cell>
          <cell r="D77">
            <v>-3.04</v>
          </cell>
          <cell r="E77">
            <v>18.21</v>
          </cell>
          <cell r="F77">
            <v>250</v>
          </cell>
          <cell r="G77">
            <v>247.4</v>
          </cell>
        </row>
        <row r="78">
          <cell r="C78">
            <v>12.75</v>
          </cell>
          <cell r="D78">
            <v>-2.3199999999999998</v>
          </cell>
          <cell r="E78">
            <v>10.43</v>
          </cell>
          <cell r="F78">
            <v>170.6</v>
          </cell>
          <cell r="G78">
            <v>168.2</v>
          </cell>
        </row>
        <row r="79">
          <cell r="C79">
            <v>19.25</v>
          </cell>
          <cell r="D79">
            <v>-2.4499999999999997</v>
          </cell>
          <cell r="E79">
            <v>16.8</v>
          </cell>
          <cell r="F79">
            <v>256.39999999999998</v>
          </cell>
          <cell r="G79">
            <v>251.3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12 nekeistas"/>
      <sheetName val="Sheet1"/>
      <sheetName val="Sheet2"/>
      <sheetName val="Sheet4"/>
      <sheetName val="Sheet5"/>
      <sheetName val="12 mėn"/>
      <sheetName val="12 mėn palyginimui"/>
      <sheetName val="12 mėn patikslintas"/>
      <sheetName val="8 mėn"/>
    </sheetNames>
    <sheetDataSet>
      <sheetData sheetId="0" refreshError="1"/>
      <sheetData sheetId="1" refreshError="1">
        <row r="6">
          <cell r="C6">
            <v>503</v>
          </cell>
          <cell r="H6">
            <v>732.13660000000004</v>
          </cell>
        </row>
        <row r="7">
          <cell r="C7">
            <v>400</v>
          </cell>
          <cell r="H7">
            <v>542.1626</v>
          </cell>
        </row>
        <row r="8">
          <cell r="C8">
            <v>11</v>
          </cell>
          <cell r="D8">
            <v>4</v>
          </cell>
          <cell r="E8">
            <v>8</v>
          </cell>
          <cell r="H8">
            <v>18.889299999999999</v>
          </cell>
          <cell r="K8">
            <v>5.4116</v>
          </cell>
          <cell r="L8">
            <v>6.1760000000000002</v>
          </cell>
        </row>
        <row r="9">
          <cell r="C9">
            <v>16</v>
          </cell>
          <cell r="H9">
            <v>24.546600000000002</v>
          </cell>
        </row>
        <row r="10">
          <cell r="C10">
            <v>15</v>
          </cell>
          <cell r="H10">
            <v>23.0124</v>
          </cell>
        </row>
        <row r="11">
          <cell r="C11">
            <v>758</v>
          </cell>
          <cell r="H11">
            <v>1039.2421999999999</v>
          </cell>
        </row>
        <row r="12">
          <cell r="C12">
            <v>946</v>
          </cell>
          <cell r="H12">
            <v>1074.9231</v>
          </cell>
        </row>
        <row r="13">
          <cell r="C13">
            <v>726</v>
          </cell>
          <cell r="H13">
            <v>845.13670000000002</v>
          </cell>
        </row>
        <row r="14">
          <cell r="C14">
            <v>17</v>
          </cell>
          <cell r="D14">
            <v>1</v>
          </cell>
          <cell r="E14">
            <v>6</v>
          </cell>
          <cell r="H14">
            <v>29.244900000000001</v>
          </cell>
          <cell r="K14">
            <v>1.3529</v>
          </cell>
          <cell r="L14">
            <v>4.6319999999999997</v>
          </cell>
        </row>
        <row r="15">
          <cell r="C15">
            <v>402</v>
          </cell>
          <cell r="D15">
            <v>12</v>
          </cell>
          <cell r="H15">
            <v>559.0598</v>
          </cell>
          <cell r="K15">
            <v>11.0532</v>
          </cell>
        </row>
        <row r="16">
          <cell r="C16">
            <v>11</v>
          </cell>
          <cell r="D16">
            <v>6</v>
          </cell>
          <cell r="E16">
            <v>8</v>
          </cell>
          <cell r="H16">
            <v>21.765899999999998</v>
          </cell>
          <cell r="K16">
            <v>8.1173999999999999</v>
          </cell>
          <cell r="L16">
            <v>6.1760000000000002</v>
          </cell>
        </row>
        <row r="17">
          <cell r="C17">
            <v>337</v>
          </cell>
          <cell r="D17">
            <v>4</v>
          </cell>
          <cell r="E17">
            <v>4</v>
          </cell>
          <cell r="H17">
            <v>457.12099999999998</v>
          </cell>
          <cell r="K17">
            <v>3.6844000000000001</v>
          </cell>
          <cell r="L17">
            <v>3.0880000000000001</v>
          </cell>
        </row>
        <row r="18">
          <cell r="C18">
            <v>10</v>
          </cell>
          <cell r="H18">
            <v>16.3005</v>
          </cell>
        </row>
        <row r="19">
          <cell r="C19">
            <v>13</v>
          </cell>
          <cell r="D19">
            <v>5</v>
          </cell>
          <cell r="E19">
            <v>6</v>
          </cell>
          <cell r="H19">
            <v>19.944099999999999</v>
          </cell>
          <cell r="K19">
            <v>6.7645</v>
          </cell>
          <cell r="L19">
            <v>4.6319999999999997</v>
          </cell>
        </row>
        <row r="20">
          <cell r="C20">
            <v>444</v>
          </cell>
          <cell r="H20">
            <v>607.87019999999995</v>
          </cell>
        </row>
        <row r="21">
          <cell r="C21">
            <v>12</v>
          </cell>
          <cell r="D21">
            <v>4</v>
          </cell>
          <cell r="E21">
            <v>7</v>
          </cell>
          <cell r="H21">
            <v>20.806999999999999</v>
          </cell>
          <cell r="K21">
            <v>5.4116</v>
          </cell>
          <cell r="L21">
            <v>5.4039999999999999</v>
          </cell>
        </row>
        <row r="22">
          <cell r="C22">
            <v>235</v>
          </cell>
          <cell r="H22">
            <v>290.94889999999998</v>
          </cell>
        </row>
        <row r="23">
          <cell r="C23">
            <v>17</v>
          </cell>
          <cell r="D23">
            <v>1</v>
          </cell>
          <cell r="E23">
            <v>7</v>
          </cell>
          <cell r="H23">
            <v>27.1355</v>
          </cell>
          <cell r="K23">
            <v>1.3529</v>
          </cell>
          <cell r="L23">
            <v>5.4039999999999999</v>
          </cell>
        </row>
        <row r="24">
          <cell r="C24">
            <v>631</v>
          </cell>
          <cell r="H24">
            <v>736.53599999999994</v>
          </cell>
        </row>
        <row r="25">
          <cell r="C25">
            <v>126</v>
          </cell>
          <cell r="D25">
            <v>10</v>
          </cell>
          <cell r="E25">
            <v>10</v>
          </cell>
          <cell r="H25">
            <v>201.48820000000001</v>
          </cell>
          <cell r="K25">
            <v>13.529</v>
          </cell>
          <cell r="L25">
            <v>7.72</v>
          </cell>
        </row>
        <row r="26">
          <cell r="C26">
            <v>78</v>
          </cell>
          <cell r="D26">
            <v>5</v>
          </cell>
          <cell r="E26">
            <v>11</v>
          </cell>
          <cell r="H26">
            <v>184.96459999999999</v>
          </cell>
          <cell r="K26">
            <v>6.7645</v>
          </cell>
          <cell r="L26">
            <v>8.4920000000000009</v>
          </cell>
        </row>
        <row r="27">
          <cell r="C27">
            <v>18</v>
          </cell>
          <cell r="D27">
            <v>2</v>
          </cell>
          <cell r="E27">
            <v>12</v>
          </cell>
          <cell r="H27">
            <v>29.724399999999999</v>
          </cell>
          <cell r="K27">
            <v>2.7058</v>
          </cell>
          <cell r="L27">
            <v>9.2639999999999993</v>
          </cell>
        </row>
        <row r="28">
          <cell r="C28">
            <v>101</v>
          </cell>
          <cell r="H28">
            <v>193.57910000000001</v>
          </cell>
        </row>
        <row r="29">
          <cell r="C29">
            <v>17</v>
          </cell>
          <cell r="D29">
            <v>12</v>
          </cell>
          <cell r="E29">
            <v>27</v>
          </cell>
          <cell r="H29">
            <v>31.354399999999998</v>
          </cell>
          <cell r="K29">
            <v>16.2348</v>
          </cell>
          <cell r="L29">
            <v>20.844000000000001</v>
          </cell>
        </row>
        <row r="31">
          <cell r="C31">
            <v>86</v>
          </cell>
          <cell r="D31">
            <v>7</v>
          </cell>
          <cell r="E31">
            <v>3</v>
          </cell>
          <cell r="H31">
            <v>180.86070000000001</v>
          </cell>
          <cell r="K31">
            <v>9.4702999999999999</v>
          </cell>
          <cell r="L31">
            <v>2.3159999999999998</v>
          </cell>
        </row>
        <row r="32">
          <cell r="C32">
            <v>103</v>
          </cell>
          <cell r="D32">
            <v>6</v>
          </cell>
          <cell r="E32">
            <v>4</v>
          </cell>
          <cell r="H32">
            <v>205.45400000000001</v>
          </cell>
          <cell r="K32">
            <v>8.1173999999999999</v>
          </cell>
          <cell r="L32">
            <v>3.0880000000000001</v>
          </cell>
        </row>
        <row r="33">
          <cell r="C33">
            <v>119</v>
          </cell>
          <cell r="D33">
            <v>8</v>
          </cell>
          <cell r="H33">
            <v>234.58930000000001</v>
          </cell>
          <cell r="K33">
            <v>10.8232</v>
          </cell>
        </row>
        <row r="35">
          <cell r="C35">
            <v>120</v>
          </cell>
          <cell r="D35">
            <v>7</v>
          </cell>
          <cell r="E35">
            <v>2</v>
          </cell>
          <cell r="H35">
            <v>233.09129999999999</v>
          </cell>
          <cell r="K35">
            <v>9.4702999999999999</v>
          </cell>
          <cell r="L35">
            <v>1.544</v>
          </cell>
        </row>
        <row r="36">
          <cell r="C36">
            <v>139</v>
          </cell>
          <cell r="H36">
            <v>354.0145</v>
          </cell>
        </row>
        <row r="37">
          <cell r="C37">
            <v>146</v>
          </cell>
          <cell r="H37">
            <v>459.81369999999998</v>
          </cell>
        </row>
        <row r="38">
          <cell r="C38">
            <v>367</v>
          </cell>
          <cell r="H38">
            <v>286.97399999999999</v>
          </cell>
        </row>
        <row r="39">
          <cell r="C39">
            <v>81</v>
          </cell>
          <cell r="D39">
            <v>23</v>
          </cell>
          <cell r="E39">
            <v>102</v>
          </cell>
          <cell r="H39">
            <v>81.371499999999997</v>
          </cell>
          <cell r="K39">
            <v>16.372</v>
          </cell>
          <cell r="L39">
            <v>78.744</v>
          </cell>
        </row>
        <row r="40">
          <cell r="C40">
            <v>98</v>
          </cell>
          <cell r="D40">
            <v>44</v>
          </cell>
          <cell r="E40">
            <v>110</v>
          </cell>
          <cell r="H40">
            <v>97.332499999999996</v>
          </cell>
          <cell r="K40">
            <v>30.637</v>
          </cell>
          <cell r="L40">
            <v>86.734099999999998</v>
          </cell>
        </row>
        <row r="41">
          <cell r="C41">
            <v>16</v>
          </cell>
          <cell r="D41">
            <v>20</v>
          </cell>
          <cell r="E41">
            <v>133</v>
          </cell>
          <cell r="H41">
            <v>15.667199999999999</v>
          </cell>
          <cell r="K41">
            <v>13.816000000000001</v>
          </cell>
          <cell r="L41">
            <v>102.676</v>
          </cell>
        </row>
        <row r="42">
          <cell r="C42">
            <v>80</v>
          </cell>
          <cell r="D42">
            <v>38</v>
          </cell>
          <cell r="E42">
            <v>78</v>
          </cell>
          <cell r="H42">
            <v>102.5265</v>
          </cell>
          <cell r="K42">
            <v>51.410200000000003</v>
          </cell>
          <cell r="L42">
            <v>60.756399999999999</v>
          </cell>
        </row>
        <row r="43">
          <cell r="C43">
            <v>70</v>
          </cell>
          <cell r="D43">
            <v>24</v>
          </cell>
          <cell r="E43">
            <v>51</v>
          </cell>
          <cell r="H43">
            <v>87.480199999999996</v>
          </cell>
          <cell r="K43">
            <v>32.4696</v>
          </cell>
          <cell r="L43">
            <v>39.372</v>
          </cell>
        </row>
        <row r="44">
          <cell r="C44">
            <v>41</v>
          </cell>
          <cell r="D44">
            <v>10</v>
          </cell>
          <cell r="E44">
            <v>65</v>
          </cell>
          <cell r="H44">
            <v>67.973100000000002</v>
          </cell>
          <cell r="K44">
            <v>13.529</v>
          </cell>
          <cell r="L44">
            <v>50.18</v>
          </cell>
        </row>
        <row r="45">
          <cell r="D45">
            <v>38</v>
          </cell>
          <cell r="E45">
            <v>178</v>
          </cell>
          <cell r="K45">
            <v>26.250399999999999</v>
          </cell>
          <cell r="L45">
            <v>137.416</v>
          </cell>
        </row>
        <row r="46">
          <cell r="D46">
            <v>49</v>
          </cell>
          <cell r="E46">
            <v>152</v>
          </cell>
          <cell r="K46">
            <v>33.849200000000003</v>
          </cell>
          <cell r="L46">
            <v>117.34399999999999</v>
          </cell>
        </row>
        <row r="47">
          <cell r="D47">
            <v>37</v>
          </cell>
          <cell r="E47">
            <v>128</v>
          </cell>
          <cell r="K47">
            <v>37.094000000000001</v>
          </cell>
          <cell r="L47">
            <v>105.571</v>
          </cell>
        </row>
        <row r="48">
          <cell r="D48">
            <v>36</v>
          </cell>
          <cell r="E48">
            <v>126</v>
          </cell>
          <cell r="K48">
            <v>28.979099999999999</v>
          </cell>
          <cell r="L48">
            <v>106.18859999999999</v>
          </cell>
        </row>
        <row r="51">
          <cell r="D51">
            <v>19</v>
          </cell>
          <cell r="E51">
            <v>40</v>
          </cell>
          <cell r="K51">
            <v>18.790299999999998</v>
          </cell>
          <cell r="L51">
            <v>31.960799999999999</v>
          </cell>
        </row>
        <row r="52">
          <cell r="D52">
            <v>22</v>
          </cell>
          <cell r="E52">
            <v>27</v>
          </cell>
          <cell r="K52">
            <v>20.264199999999999</v>
          </cell>
          <cell r="L52">
            <v>20.844000000000001</v>
          </cell>
        </row>
        <row r="53">
          <cell r="D53">
            <v>20</v>
          </cell>
          <cell r="E53">
            <v>40</v>
          </cell>
          <cell r="K53">
            <v>18.422000000000001</v>
          </cell>
          <cell r="L53">
            <v>30.88</v>
          </cell>
        </row>
        <row r="54">
          <cell r="C54">
            <v>7435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jamos 1pr"/>
      <sheetName val="Paj_nuoma 2pr"/>
      <sheetName val="Paj_atsitikt.3pr"/>
      <sheetName val="Paj_inasai 4pr"/>
      <sheetName val="Savar_5pr"/>
      <sheetName val="Isl_nuoma 6pr"/>
      <sheetName val="Isl_Atsitiktines 7pr"/>
      <sheetName val="isl_Inasa 8pr"/>
      <sheetName val="Deleg.9pr"/>
      <sheetName val="Dotac 10p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59">
          <cell r="E259">
            <v>144689.29999999999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4"/>
  <sheetViews>
    <sheetView tabSelected="1" workbookViewId="0">
      <selection activeCell="G7" sqref="G7"/>
    </sheetView>
  </sheetViews>
  <sheetFormatPr defaultRowHeight="15"/>
  <cols>
    <col min="1" max="1" width="47.7109375" style="78" customWidth="1"/>
    <col min="2" max="3" width="9.140625" style="78"/>
    <col min="4" max="4" width="9.5703125" style="78" bestFit="1" customWidth="1"/>
    <col min="5" max="256" width="9.140625" style="78"/>
    <col min="257" max="257" width="47.7109375" style="78" customWidth="1"/>
    <col min="258" max="259" width="9.140625" style="78"/>
    <col min="260" max="260" width="9.5703125" style="78" bestFit="1" customWidth="1"/>
    <col min="261" max="512" width="9.140625" style="78"/>
    <col min="513" max="513" width="47.7109375" style="78" customWidth="1"/>
    <col min="514" max="515" width="9.140625" style="78"/>
    <col min="516" max="516" width="9.5703125" style="78" bestFit="1" customWidth="1"/>
    <col min="517" max="768" width="9.140625" style="78"/>
    <col min="769" max="769" width="47.7109375" style="78" customWidth="1"/>
    <col min="770" max="771" width="9.140625" style="78"/>
    <col min="772" max="772" width="9.5703125" style="78" bestFit="1" customWidth="1"/>
    <col min="773" max="1024" width="9.140625" style="78"/>
    <col min="1025" max="1025" width="47.7109375" style="78" customWidth="1"/>
    <col min="1026" max="1027" width="9.140625" style="78"/>
    <col min="1028" max="1028" width="9.5703125" style="78" bestFit="1" customWidth="1"/>
    <col min="1029" max="1280" width="9.140625" style="78"/>
    <col min="1281" max="1281" width="47.7109375" style="78" customWidth="1"/>
    <col min="1282" max="1283" width="9.140625" style="78"/>
    <col min="1284" max="1284" width="9.5703125" style="78" bestFit="1" customWidth="1"/>
    <col min="1285" max="1536" width="9.140625" style="78"/>
    <col min="1537" max="1537" width="47.7109375" style="78" customWidth="1"/>
    <col min="1538" max="1539" width="9.140625" style="78"/>
    <col min="1540" max="1540" width="9.5703125" style="78" bestFit="1" customWidth="1"/>
    <col min="1541" max="1792" width="9.140625" style="78"/>
    <col min="1793" max="1793" width="47.7109375" style="78" customWidth="1"/>
    <col min="1794" max="1795" width="9.140625" style="78"/>
    <col min="1796" max="1796" width="9.5703125" style="78" bestFit="1" customWidth="1"/>
    <col min="1797" max="2048" width="9.140625" style="78"/>
    <col min="2049" max="2049" width="47.7109375" style="78" customWidth="1"/>
    <col min="2050" max="2051" width="9.140625" style="78"/>
    <col min="2052" max="2052" width="9.5703125" style="78" bestFit="1" customWidth="1"/>
    <col min="2053" max="2304" width="9.140625" style="78"/>
    <col min="2305" max="2305" width="47.7109375" style="78" customWidth="1"/>
    <col min="2306" max="2307" width="9.140625" style="78"/>
    <col min="2308" max="2308" width="9.5703125" style="78" bestFit="1" customWidth="1"/>
    <col min="2309" max="2560" width="9.140625" style="78"/>
    <col min="2561" max="2561" width="47.7109375" style="78" customWidth="1"/>
    <col min="2562" max="2563" width="9.140625" style="78"/>
    <col min="2564" max="2564" width="9.5703125" style="78" bestFit="1" customWidth="1"/>
    <col min="2565" max="2816" width="9.140625" style="78"/>
    <col min="2817" max="2817" width="47.7109375" style="78" customWidth="1"/>
    <col min="2818" max="2819" width="9.140625" style="78"/>
    <col min="2820" max="2820" width="9.5703125" style="78" bestFit="1" customWidth="1"/>
    <col min="2821" max="3072" width="9.140625" style="78"/>
    <col min="3073" max="3073" width="47.7109375" style="78" customWidth="1"/>
    <col min="3074" max="3075" width="9.140625" style="78"/>
    <col min="3076" max="3076" width="9.5703125" style="78" bestFit="1" customWidth="1"/>
    <col min="3077" max="3328" width="9.140625" style="78"/>
    <col min="3329" max="3329" width="47.7109375" style="78" customWidth="1"/>
    <col min="3330" max="3331" width="9.140625" style="78"/>
    <col min="3332" max="3332" width="9.5703125" style="78" bestFit="1" customWidth="1"/>
    <col min="3333" max="3584" width="9.140625" style="78"/>
    <col min="3585" max="3585" width="47.7109375" style="78" customWidth="1"/>
    <col min="3586" max="3587" width="9.140625" style="78"/>
    <col min="3588" max="3588" width="9.5703125" style="78" bestFit="1" customWidth="1"/>
    <col min="3589" max="3840" width="9.140625" style="78"/>
    <col min="3841" max="3841" width="47.7109375" style="78" customWidth="1"/>
    <col min="3842" max="3843" width="9.140625" style="78"/>
    <col min="3844" max="3844" width="9.5703125" style="78" bestFit="1" customWidth="1"/>
    <col min="3845" max="4096" width="9.140625" style="78"/>
    <col min="4097" max="4097" width="47.7109375" style="78" customWidth="1"/>
    <col min="4098" max="4099" width="9.140625" style="78"/>
    <col min="4100" max="4100" width="9.5703125" style="78" bestFit="1" customWidth="1"/>
    <col min="4101" max="4352" width="9.140625" style="78"/>
    <col min="4353" max="4353" width="47.7109375" style="78" customWidth="1"/>
    <col min="4354" max="4355" width="9.140625" style="78"/>
    <col min="4356" max="4356" width="9.5703125" style="78" bestFit="1" customWidth="1"/>
    <col min="4357" max="4608" width="9.140625" style="78"/>
    <col min="4609" max="4609" width="47.7109375" style="78" customWidth="1"/>
    <col min="4610" max="4611" width="9.140625" style="78"/>
    <col min="4612" max="4612" width="9.5703125" style="78" bestFit="1" customWidth="1"/>
    <col min="4613" max="4864" width="9.140625" style="78"/>
    <col min="4865" max="4865" width="47.7109375" style="78" customWidth="1"/>
    <col min="4866" max="4867" width="9.140625" style="78"/>
    <col min="4868" max="4868" width="9.5703125" style="78" bestFit="1" customWidth="1"/>
    <col min="4869" max="5120" width="9.140625" style="78"/>
    <col min="5121" max="5121" width="47.7109375" style="78" customWidth="1"/>
    <col min="5122" max="5123" width="9.140625" style="78"/>
    <col min="5124" max="5124" width="9.5703125" style="78" bestFit="1" customWidth="1"/>
    <col min="5125" max="5376" width="9.140625" style="78"/>
    <col min="5377" max="5377" width="47.7109375" style="78" customWidth="1"/>
    <col min="5378" max="5379" width="9.140625" style="78"/>
    <col min="5380" max="5380" width="9.5703125" style="78" bestFit="1" customWidth="1"/>
    <col min="5381" max="5632" width="9.140625" style="78"/>
    <col min="5633" max="5633" width="47.7109375" style="78" customWidth="1"/>
    <col min="5634" max="5635" width="9.140625" style="78"/>
    <col min="5636" max="5636" width="9.5703125" style="78" bestFit="1" customWidth="1"/>
    <col min="5637" max="5888" width="9.140625" style="78"/>
    <col min="5889" max="5889" width="47.7109375" style="78" customWidth="1"/>
    <col min="5890" max="5891" width="9.140625" style="78"/>
    <col min="5892" max="5892" width="9.5703125" style="78" bestFit="1" customWidth="1"/>
    <col min="5893" max="6144" width="9.140625" style="78"/>
    <col min="6145" max="6145" width="47.7109375" style="78" customWidth="1"/>
    <col min="6146" max="6147" width="9.140625" style="78"/>
    <col min="6148" max="6148" width="9.5703125" style="78" bestFit="1" customWidth="1"/>
    <col min="6149" max="6400" width="9.140625" style="78"/>
    <col min="6401" max="6401" width="47.7109375" style="78" customWidth="1"/>
    <col min="6402" max="6403" width="9.140625" style="78"/>
    <col min="6404" max="6404" width="9.5703125" style="78" bestFit="1" customWidth="1"/>
    <col min="6405" max="6656" width="9.140625" style="78"/>
    <col min="6657" max="6657" width="47.7109375" style="78" customWidth="1"/>
    <col min="6658" max="6659" width="9.140625" style="78"/>
    <col min="6660" max="6660" width="9.5703125" style="78" bestFit="1" customWidth="1"/>
    <col min="6661" max="6912" width="9.140625" style="78"/>
    <col min="6913" max="6913" width="47.7109375" style="78" customWidth="1"/>
    <col min="6914" max="6915" width="9.140625" style="78"/>
    <col min="6916" max="6916" width="9.5703125" style="78" bestFit="1" customWidth="1"/>
    <col min="6917" max="7168" width="9.140625" style="78"/>
    <col min="7169" max="7169" width="47.7109375" style="78" customWidth="1"/>
    <col min="7170" max="7171" width="9.140625" style="78"/>
    <col min="7172" max="7172" width="9.5703125" style="78" bestFit="1" customWidth="1"/>
    <col min="7173" max="7424" width="9.140625" style="78"/>
    <col min="7425" max="7425" width="47.7109375" style="78" customWidth="1"/>
    <col min="7426" max="7427" width="9.140625" style="78"/>
    <col min="7428" max="7428" width="9.5703125" style="78" bestFit="1" customWidth="1"/>
    <col min="7429" max="7680" width="9.140625" style="78"/>
    <col min="7681" max="7681" width="47.7109375" style="78" customWidth="1"/>
    <col min="7682" max="7683" width="9.140625" style="78"/>
    <col min="7684" max="7684" width="9.5703125" style="78" bestFit="1" customWidth="1"/>
    <col min="7685" max="7936" width="9.140625" style="78"/>
    <col min="7937" max="7937" width="47.7109375" style="78" customWidth="1"/>
    <col min="7938" max="7939" width="9.140625" style="78"/>
    <col min="7940" max="7940" width="9.5703125" style="78" bestFit="1" customWidth="1"/>
    <col min="7941" max="8192" width="9.140625" style="78"/>
    <col min="8193" max="8193" width="47.7109375" style="78" customWidth="1"/>
    <col min="8194" max="8195" width="9.140625" style="78"/>
    <col min="8196" max="8196" width="9.5703125" style="78" bestFit="1" customWidth="1"/>
    <col min="8197" max="8448" width="9.140625" style="78"/>
    <col min="8449" max="8449" width="47.7109375" style="78" customWidth="1"/>
    <col min="8450" max="8451" width="9.140625" style="78"/>
    <col min="8452" max="8452" width="9.5703125" style="78" bestFit="1" customWidth="1"/>
    <col min="8453" max="8704" width="9.140625" style="78"/>
    <col min="8705" max="8705" width="47.7109375" style="78" customWidth="1"/>
    <col min="8706" max="8707" width="9.140625" style="78"/>
    <col min="8708" max="8708" width="9.5703125" style="78" bestFit="1" customWidth="1"/>
    <col min="8709" max="8960" width="9.140625" style="78"/>
    <col min="8961" max="8961" width="47.7109375" style="78" customWidth="1"/>
    <col min="8962" max="8963" width="9.140625" style="78"/>
    <col min="8964" max="8964" width="9.5703125" style="78" bestFit="1" customWidth="1"/>
    <col min="8965" max="9216" width="9.140625" style="78"/>
    <col min="9217" max="9217" width="47.7109375" style="78" customWidth="1"/>
    <col min="9218" max="9219" width="9.140625" style="78"/>
    <col min="9220" max="9220" width="9.5703125" style="78" bestFit="1" customWidth="1"/>
    <col min="9221" max="9472" width="9.140625" style="78"/>
    <col min="9473" max="9473" width="47.7109375" style="78" customWidth="1"/>
    <col min="9474" max="9475" width="9.140625" style="78"/>
    <col min="9476" max="9476" width="9.5703125" style="78" bestFit="1" customWidth="1"/>
    <col min="9477" max="9728" width="9.140625" style="78"/>
    <col min="9729" max="9729" width="47.7109375" style="78" customWidth="1"/>
    <col min="9730" max="9731" width="9.140625" style="78"/>
    <col min="9732" max="9732" width="9.5703125" style="78" bestFit="1" customWidth="1"/>
    <col min="9733" max="9984" width="9.140625" style="78"/>
    <col min="9985" max="9985" width="47.7109375" style="78" customWidth="1"/>
    <col min="9986" max="9987" width="9.140625" style="78"/>
    <col min="9988" max="9988" width="9.5703125" style="78" bestFit="1" customWidth="1"/>
    <col min="9989" max="10240" width="9.140625" style="78"/>
    <col min="10241" max="10241" width="47.7109375" style="78" customWidth="1"/>
    <col min="10242" max="10243" width="9.140625" style="78"/>
    <col min="10244" max="10244" width="9.5703125" style="78" bestFit="1" customWidth="1"/>
    <col min="10245" max="10496" width="9.140625" style="78"/>
    <col min="10497" max="10497" width="47.7109375" style="78" customWidth="1"/>
    <col min="10498" max="10499" width="9.140625" style="78"/>
    <col min="10500" max="10500" width="9.5703125" style="78" bestFit="1" customWidth="1"/>
    <col min="10501" max="10752" width="9.140625" style="78"/>
    <col min="10753" max="10753" width="47.7109375" style="78" customWidth="1"/>
    <col min="10754" max="10755" width="9.140625" style="78"/>
    <col min="10756" max="10756" width="9.5703125" style="78" bestFit="1" customWidth="1"/>
    <col min="10757" max="11008" width="9.140625" style="78"/>
    <col min="11009" max="11009" width="47.7109375" style="78" customWidth="1"/>
    <col min="11010" max="11011" width="9.140625" style="78"/>
    <col min="11012" max="11012" width="9.5703125" style="78" bestFit="1" customWidth="1"/>
    <col min="11013" max="11264" width="9.140625" style="78"/>
    <col min="11265" max="11265" width="47.7109375" style="78" customWidth="1"/>
    <col min="11266" max="11267" width="9.140625" style="78"/>
    <col min="11268" max="11268" width="9.5703125" style="78" bestFit="1" customWidth="1"/>
    <col min="11269" max="11520" width="9.140625" style="78"/>
    <col min="11521" max="11521" width="47.7109375" style="78" customWidth="1"/>
    <col min="11522" max="11523" width="9.140625" style="78"/>
    <col min="11524" max="11524" width="9.5703125" style="78" bestFit="1" customWidth="1"/>
    <col min="11525" max="11776" width="9.140625" style="78"/>
    <col min="11777" max="11777" width="47.7109375" style="78" customWidth="1"/>
    <col min="11778" max="11779" width="9.140625" style="78"/>
    <col min="11780" max="11780" width="9.5703125" style="78" bestFit="1" customWidth="1"/>
    <col min="11781" max="12032" width="9.140625" style="78"/>
    <col min="12033" max="12033" width="47.7109375" style="78" customWidth="1"/>
    <col min="12034" max="12035" width="9.140625" style="78"/>
    <col min="12036" max="12036" width="9.5703125" style="78" bestFit="1" customWidth="1"/>
    <col min="12037" max="12288" width="9.140625" style="78"/>
    <col min="12289" max="12289" width="47.7109375" style="78" customWidth="1"/>
    <col min="12290" max="12291" width="9.140625" style="78"/>
    <col min="12292" max="12292" width="9.5703125" style="78" bestFit="1" customWidth="1"/>
    <col min="12293" max="12544" width="9.140625" style="78"/>
    <col min="12545" max="12545" width="47.7109375" style="78" customWidth="1"/>
    <col min="12546" max="12547" width="9.140625" style="78"/>
    <col min="12548" max="12548" width="9.5703125" style="78" bestFit="1" customWidth="1"/>
    <col min="12549" max="12800" width="9.140625" style="78"/>
    <col min="12801" max="12801" width="47.7109375" style="78" customWidth="1"/>
    <col min="12802" max="12803" width="9.140625" style="78"/>
    <col min="12804" max="12804" width="9.5703125" style="78" bestFit="1" customWidth="1"/>
    <col min="12805" max="13056" width="9.140625" style="78"/>
    <col min="13057" max="13057" width="47.7109375" style="78" customWidth="1"/>
    <col min="13058" max="13059" width="9.140625" style="78"/>
    <col min="13060" max="13060" width="9.5703125" style="78" bestFit="1" customWidth="1"/>
    <col min="13061" max="13312" width="9.140625" style="78"/>
    <col min="13313" max="13313" width="47.7109375" style="78" customWidth="1"/>
    <col min="13314" max="13315" width="9.140625" style="78"/>
    <col min="13316" max="13316" width="9.5703125" style="78" bestFit="1" customWidth="1"/>
    <col min="13317" max="13568" width="9.140625" style="78"/>
    <col min="13569" max="13569" width="47.7109375" style="78" customWidth="1"/>
    <col min="13570" max="13571" width="9.140625" style="78"/>
    <col min="13572" max="13572" width="9.5703125" style="78" bestFit="1" customWidth="1"/>
    <col min="13573" max="13824" width="9.140625" style="78"/>
    <col min="13825" max="13825" width="47.7109375" style="78" customWidth="1"/>
    <col min="13826" max="13827" width="9.140625" style="78"/>
    <col min="13828" max="13828" width="9.5703125" style="78" bestFit="1" customWidth="1"/>
    <col min="13829" max="14080" width="9.140625" style="78"/>
    <col min="14081" max="14081" width="47.7109375" style="78" customWidth="1"/>
    <col min="14082" max="14083" width="9.140625" style="78"/>
    <col min="14084" max="14084" width="9.5703125" style="78" bestFit="1" customWidth="1"/>
    <col min="14085" max="14336" width="9.140625" style="78"/>
    <col min="14337" max="14337" width="47.7109375" style="78" customWidth="1"/>
    <col min="14338" max="14339" width="9.140625" style="78"/>
    <col min="14340" max="14340" width="9.5703125" style="78" bestFit="1" customWidth="1"/>
    <col min="14341" max="14592" width="9.140625" style="78"/>
    <col min="14593" max="14593" width="47.7109375" style="78" customWidth="1"/>
    <col min="14594" max="14595" width="9.140625" style="78"/>
    <col min="14596" max="14596" width="9.5703125" style="78" bestFit="1" customWidth="1"/>
    <col min="14597" max="14848" width="9.140625" style="78"/>
    <col min="14849" max="14849" width="47.7109375" style="78" customWidth="1"/>
    <col min="14850" max="14851" width="9.140625" style="78"/>
    <col min="14852" max="14852" width="9.5703125" style="78" bestFit="1" customWidth="1"/>
    <col min="14853" max="15104" width="9.140625" style="78"/>
    <col min="15105" max="15105" width="47.7109375" style="78" customWidth="1"/>
    <col min="15106" max="15107" width="9.140625" style="78"/>
    <col min="15108" max="15108" width="9.5703125" style="78" bestFit="1" customWidth="1"/>
    <col min="15109" max="15360" width="9.140625" style="78"/>
    <col min="15361" max="15361" width="47.7109375" style="78" customWidth="1"/>
    <col min="15362" max="15363" width="9.140625" style="78"/>
    <col min="15364" max="15364" width="9.5703125" style="78" bestFit="1" customWidth="1"/>
    <col min="15365" max="15616" width="9.140625" style="78"/>
    <col min="15617" max="15617" width="47.7109375" style="78" customWidth="1"/>
    <col min="15618" max="15619" width="9.140625" style="78"/>
    <col min="15620" max="15620" width="9.5703125" style="78" bestFit="1" customWidth="1"/>
    <col min="15621" max="15872" width="9.140625" style="78"/>
    <col min="15873" max="15873" width="47.7109375" style="78" customWidth="1"/>
    <col min="15874" max="15875" width="9.140625" style="78"/>
    <col min="15876" max="15876" width="9.5703125" style="78" bestFit="1" customWidth="1"/>
    <col min="15877" max="16128" width="9.140625" style="78"/>
    <col min="16129" max="16129" width="47.7109375" style="78" customWidth="1"/>
    <col min="16130" max="16131" width="9.140625" style="78"/>
    <col min="16132" max="16132" width="9.5703125" style="78" bestFit="1" customWidth="1"/>
    <col min="16133" max="16384" width="9.140625" style="78"/>
  </cols>
  <sheetData>
    <row r="2" spans="1:11">
      <c r="D2" s="263" t="s">
        <v>229</v>
      </c>
      <c r="E2" s="263"/>
    </row>
    <row r="4" spans="1:11">
      <c r="A4" s="264" t="s">
        <v>230</v>
      </c>
      <c r="B4" s="264"/>
      <c r="C4" s="264"/>
      <c r="D4" s="264"/>
      <c r="E4" s="264"/>
    </row>
    <row r="5" spans="1:11">
      <c r="A5" s="79"/>
      <c r="B5" s="79"/>
    </row>
    <row r="6" spans="1:11">
      <c r="A6" s="79"/>
      <c r="B6" s="79"/>
      <c r="E6" s="80" t="s">
        <v>231</v>
      </c>
    </row>
    <row r="7" spans="1:11">
      <c r="A7" s="265"/>
      <c r="B7" s="95">
        <v>2012</v>
      </c>
      <c r="C7" s="95">
        <v>2013</v>
      </c>
      <c r="D7" s="267" t="s">
        <v>232</v>
      </c>
      <c r="E7" s="268"/>
    </row>
    <row r="8" spans="1:11">
      <c r="A8" s="266"/>
      <c r="B8" s="94" t="s">
        <v>233</v>
      </c>
      <c r="C8" s="95" t="s">
        <v>233</v>
      </c>
      <c r="D8" s="96" t="s">
        <v>234</v>
      </c>
      <c r="E8" s="95" t="s">
        <v>235</v>
      </c>
    </row>
    <row r="9" spans="1:11">
      <c r="A9" s="81"/>
      <c r="B9" s="83"/>
      <c r="C9" s="84"/>
      <c r="D9" s="81"/>
      <c r="E9" s="81"/>
    </row>
    <row r="10" spans="1:11">
      <c r="A10" s="85" t="s">
        <v>236</v>
      </c>
      <c r="B10" s="86">
        <f>+B12+B13+B18+B19+B20</f>
        <v>49050</v>
      </c>
      <c r="C10" s="86">
        <v>50833</v>
      </c>
      <c r="D10" s="86">
        <f t="shared" ref="D10:D18" si="0">+C10/B10*100-100</f>
        <v>3.6350662589194656</v>
      </c>
      <c r="E10" s="86">
        <f t="shared" ref="E10:E37" si="1">+C10-B10</f>
        <v>1783</v>
      </c>
    </row>
    <row r="11" spans="1:11">
      <c r="A11" s="81" t="s">
        <v>237</v>
      </c>
      <c r="B11" s="87">
        <v>61.32</v>
      </c>
      <c r="C11" s="88">
        <v>57.34</v>
      </c>
      <c r="D11" s="89">
        <f t="shared" si="0"/>
        <v>-6.4905414220482669</v>
      </c>
      <c r="E11" s="87">
        <f t="shared" si="1"/>
        <v>-3.9799999999999969</v>
      </c>
    </row>
    <row r="12" spans="1:11">
      <c r="A12" s="82" t="s">
        <v>238</v>
      </c>
      <c r="B12" s="89">
        <v>28910</v>
      </c>
      <c r="C12" s="89">
        <v>28648</v>
      </c>
      <c r="D12" s="89">
        <f t="shared" si="0"/>
        <v>-0.90626080940850784</v>
      </c>
      <c r="E12" s="87">
        <f t="shared" si="1"/>
        <v>-262</v>
      </c>
    </row>
    <row r="13" spans="1:11">
      <c r="A13" s="81" t="s">
        <v>239</v>
      </c>
      <c r="B13" s="89">
        <v>5440</v>
      </c>
      <c r="C13" s="89">
        <v>4395</v>
      </c>
      <c r="D13" s="89">
        <f t="shared" si="0"/>
        <v>-19.20955882352942</v>
      </c>
      <c r="E13" s="87">
        <f t="shared" si="1"/>
        <v>-1045</v>
      </c>
    </row>
    <row r="14" spans="1:11">
      <c r="A14" s="81" t="s">
        <v>240</v>
      </c>
      <c r="B14" s="89">
        <v>1260</v>
      </c>
      <c r="C14" s="89">
        <v>1300</v>
      </c>
      <c r="D14" s="89">
        <f t="shared" si="0"/>
        <v>3.1746031746031917</v>
      </c>
      <c r="E14" s="87">
        <f t="shared" si="1"/>
        <v>40</v>
      </c>
    </row>
    <row r="15" spans="1:11">
      <c r="A15" s="81" t="s">
        <v>241</v>
      </c>
      <c r="B15" s="89">
        <v>3050</v>
      </c>
      <c r="C15" s="89">
        <v>2070</v>
      </c>
      <c r="D15" s="89">
        <f t="shared" si="0"/>
        <v>-32.131147540983605</v>
      </c>
      <c r="E15" s="87">
        <f t="shared" si="1"/>
        <v>-980</v>
      </c>
    </row>
    <row r="16" spans="1:11">
      <c r="A16" s="81" t="s">
        <v>242</v>
      </c>
      <c r="B16" s="89">
        <v>30</v>
      </c>
      <c r="C16" s="89">
        <v>25</v>
      </c>
      <c r="D16" s="89">
        <f t="shared" si="0"/>
        <v>-16.666666666666657</v>
      </c>
      <c r="E16" s="87">
        <f t="shared" si="1"/>
        <v>-5</v>
      </c>
      <c r="K16" s="90"/>
    </row>
    <row r="17" spans="1:5">
      <c r="A17" s="81" t="s">
        <v>243</v>
      </c>
      <c r="B17" s="89">
        <v>1100</v>
      </c>
      <c r="C17" s="89">
        <v>1000</v>
      </c>
      <c r="D17" s="89">
        <f t="shared" si="0"/>
        <v>-9.0909090909090935</v>
      </c>
      <c r="E17" s="87">
        <f t="shared" si="1"/>
        <v>-100</v>
      </c>
    </row>
    <row r="18" spans="1:5" s="80" customFormat="1" ht="12.75">
      <c r="A18" s="91" t="s">
        <v>244</v>
      </c>
      <c r="B18" s="89">
        <v>310</v>
      </c>
      <c r="C18" s="89">
        <v>181</v>
      </c>
      <c r="D18" s="89">
        <f t="shared" si="0"/>
        <v>-41.612903225806456</v>
      </c>
      <c r="E18" s="89">
        <f t="shared" si="1"/>
        <v>-129</v>
      </c>
    </row>
    <row r="19" spans="1:5">
      <c r="A19" s="81" t="s">
        <v>245</v>
      </c>
      <c r="B19" s="89">
        <v>1295</v>
      </c>
      <c r="C19" s="89">
        <v>3960</v>
      </c>
      <c r="D19" s="97" t="s">
        <v>246</v>
      </c>
      <c r="E19" s="87">
        <f t="shared" si="1"/>
        <v>2665</v>
      </c>
    </row>
    <row r="20" spans="1:5" s="79" customFormat="1" ht="14.25">
      <c r="A20" s="85" t="s">
        <v>247</v>
      </c>
      <c r="B20" s="86">
        <f>+B21+B22</f>
        <v>13095</v>
      </c>
      <c r="C20" s="86">
        <f>+C21+C22</f>
        <v>13649</v>
      </c>
      <c r="D20" s="86">
        <f t="shared" ref="D20:D37" si="2">+C20/B20*100-100</f>
        <v>4.2306223749522616</v>
      </c>
      <c r="E20" s="98">
        <f t="shared" si="1"/>
        <v>554</v>
      </c>
    </row>
    <row r="21" spans="1:5">
      <c r="A21" s="81" t="s">
        <v>248</v>
      </c>
      <c r="B21" s="89">
        <v>3509</v>
      </c>
      <c r="C21" s="89">
        <v>4452</v>
      </c>
      <c r="D21" s="89">
        <f t="shared" si="2"/>
        <v>26.873753206041613</v>
      </c>
      <c r="E21" s="87">
        <f t="shared" si="1"/>
        <v>943</v>
      </c>
    </row>
    <row r="22" spans="1:5">
      <c r="A22" s="81" t="s">
        <v>249</v>
      </c>
      <c r="B22" s="89">
        <v>9586</v>
      </c>
      <c r="C22" s="89">
        <v>9197</v>
      </c>
      <c r="D22" s="89">
        <f t="shared" si="2"/>
        <v>-4.058001251825587</v>
      </c>
      <c r="E22" s="87">
        <f t="shared" si="1"/>
        <v>-389</v>
      </c>
    </row>
    <row r="23" spans="1:5" s="79" customFormat="1" ht="14.25">
      <c r="A23" s="85" t="s">
        <v>250</v>
      </c>
      <c r="B23" s="86">
        <v>64037</v>
      </c>
      <c r="C23" s="86">
        <f>+C24+C25+C26+C27</f>
        <v>60019.6</v>
      </c>
      <c r="D23" s="86">
        <f t="shared" si="2"/>
        <v>-6.273560597779408</v>
      </c>
      <c r="E23" s="98">
        <f t="shared" si="1"/>
        <v>-4017.4000000000015</v>
      </c>
    </row>
    <row r="24" spans="1:5">
      <c r="A24" s="81" t="s">
        <v>251</v>
      </c>
      <c r="B24" s="89">
        <v>38787.599999999999</v>
      </c>
      <c r="C24" s="89">
        <v>37080</v>
      </c>
      <c r="D24" s="89">
        <f t="shared" si="2"/>
        <v>-4.4024378925223431</v>
      </c>
      <c r="E24" s="87">
        <f t="shared" si="1"/>
        <v>-1707.5999999999985</v>
      </c>
    </row>
    <row r="25" spans="1:5">
      <c r="A25" s="81" t="s">
        <v>252</v>
      </c>
      <c r="B25" s="89">
        <v>22045.5</v>
      </c>
      <c r="C25" s="89">
        <v>19352.900000000001</v>
      </c>
      <c r="D25" s="89">
        <f t="shared" si="2"/>
        <v>-12.213830486947444</v>
      </c>
      <c r="E25" s="87">
        <f t="shared" si="1"/>
        <v>-2692.5999999999985</v>
      </c>
    </row>
    <row r="26" spans="1:5">
      <c r="A26" s="81" t="s">
        <v>253</v>
      </c>
      <c r="B26" s="89">
        <v>1663.9</v>
      </c>
      <c r="C26" s="89">
        <v>1836.7</v>
      </c>
      <c r="D26" s="89">
        <f t="shared" si="2"/>
        <v>10.385239497565962</v>
      </c>
      <c r="E26" s="87">
        <f t="shared" si="1"/>
        <v>172.79999999999995</v>
      </c>
    </row>
    <row r="27" spans="1:5" s="80" customFormat="1">
      <c r="A27" s="91" t="s">
        <v>254</v>
      </c>
      <c r="B27" s="89">
        <v>1540</v>
      </c>
      <c r="C27" s="89">
        <v>1750</v>
      </c>
      <c r="D27" s="89">
        <f t="shared" si="2"/>
        <v>13.63636363636364</v>
      </c>
      <c r="E27" s="87">
        <f t="shared" si="1"/>
        <v>210</v>
      </c>
    </row>
    <row r="28" spans="1:5">
      <c r="A28" s="81" t="s">
        <v>255</v>
      </c>
      <c r="B28" s="89">
        <v>1000</v>
      </c>
      <c r="C28" s="89">
        <v>950</v>
      </c>
      <c r="D28" s="89">
        <f t="shared" si="2"/>
        <v>-5</v>
      </c>
      <c r="E28" s="87">
        <f t="shared" si="1"/>
        <v>-50</v>
      </c>
    </row>
    <row r="29" spans="1:5">
      <c r="A29" s="81" t="s">
        <v>256</v>
      </c>
      <c r="B29" s="89">
        <v>110</v>
      </c>
      <c r="C29" s="89">
        <v>100</v>
      </c>
      <c r="D29" s="89">
        <f t="shared" si="2"/>
        <v>-9.0909090909090935</v>
      </c>
      <c r="E29" s="87">
        <f t="shared" si="1"/>
        <v>-10</v>
      </c>
    </row>
    <row r="30" spans="1:5">
      <c r="A30" s="81" t="s">
        <v>257</v>
      </c>
      <c r="B30" s="89">
        <v>2610</v>
      </c>
      <c r="C30" s="89">
        <v>2543.6999999999998</v>
      </c>
      <c r="D30" s="89">
        <f t="shared" si="2"/>
        <v>-2.5402298850574709</v>
      </c>
      <c r="E30" s="87">
        <f t="shared" si="1"/>
        <v>-66.300000000000182</v>
      </c>
    </row>
    <row r="31" spans="1:5" s="79" customFormat="1" ht="14.25">
      <c r="A31" s="85" t="s">
        <v>258</v>
      </c>
      <c r="B31" s="86">
        <f>+B32+B33+B34</f>
        <v>4351.1000000000004</v>
      </c>
      <c r="C31" s="86">
        <f>+C32+C33+C34</f>
        <v>4265.7999999999993</v>
      </c>
      <c r="D31" s="86">
        <f t="shared" si="2"/>
        <v>-1.9604238008779618</v>
      </c>
      <c r="E31" s="98">
        <f t="shared" si="1"/>
        <v>-85.300000000001091</v>
      </c>
    </row>
    <row r="32" spans="1:5">
      <c r="A32" s="81" t="s">
        <v>259</v>
      </c>
      <c r="B32" s="89">
        <v>265.10000000000002</v>
      </c>
      <c r="C32" s="89">
        <v>233</v>
      </c>
      <c r="D32" s="89">
        <f t="shared" si="2"/>
        <v>-12.108638249717103</v>
      </c>
      <c r="E32" s="87">
        <f t="shared" si="1"/>
        <v>-32.100000000000023</v>
      </c>
    </row>
    <row r="33" spans="1:5">
      <c r="A33" s="81" t="s">
        <v>260</v>
      </c>
      <c r="B33" s="89">
        <v>1337.4</v>
      </c>
      <c r="C33" s="89">
        <v>1240.0999999999999</v>
      </c>
      <c r="D33" s="89">
        <f t="shared" si="2"/>
        <v>-7.2753103035741162</v>
      </c>
      <c r="E33" s="87">
        <f t="shared" si="1"/>
        <v>-97.300000000000182</v>
      </c>
    </row>
    <row r="34" spans="1:5">
      <c r="A34" s="81" t="s">
        <v>261</v>
      </c>
      <c r="B34" s="89">
        <v>2748.6</v>
      </c>
      <c r="C34" s="89">
        <v>2792.7</v>
      </c>
      <c r="D34" s="89">
        <f t="shared" si="2"/>
        <v>1.6044531761623944</v>
      </c>
      <c r="E34" s="87">
        <f t="shared" si="1"/>
        <v>44.099999999999909</v>
      </c>
    </row>
    <row r="35" spans="1:5">
      <c r="A35" s="81" t="s">
        <v>262</v>
      </c>
      <c r="B35" s="89">
        <v>57.5</v>
      </c>
      <c r="C35" s="89"/>
      <c r="D35" s="89"/>
      <c r="E35" s="87">
        <f t="shared" si="1"/>
        <v>-57.5</v>
      </c>
    </row>
    <row r="36" spans="1:5">
      <c r="A36" s="91" t="s">
        <v>263</v>
      </c>
      <c r="B36" s="89">
        <v>350</v>
      </c>
      <c r="C36" s="89"/>
      <c r="D36" s="89"/>
      <c r="E36" s="87">
        <f t="shared" si="1"/>
        <v>-350</v>
      </c>
    </row>
    <row r="37" spans="1:5" s="79" customFormat="1" ht="14.25">
      <c r="A37" s="85" t="s">
        <v>264</v>
      </c>
      <c r="B37" s="86">
        <f>+B10+B23+B31++B28+B29+B30+B35+B36</f>
        <v>121565.6</v>
      </c>
      <c r="C37" s="86">
        <f>+C10+C23+C28+C29+C30+C31</f>
        <v>118712.1</v>
      </c>
      <c r="D37" s="86">
        <f t="shared" si="2"/>
        <v>-2.347292326118577</v>
      </c>
      <c r="E37" s="98">
        <f t="shared" si="1"/>
        <v>-2853.5</v>
      </c>
    </row>
    <row r="38" spans="1:5">
      <c r="C38" s="92"/>
    </row>
    <row r="39" spans="1:5">
      <c r="C39" s="93"/>
    </row>
    <row r="40" spans="1:5">
      <c r="C40" s="93"/>
    </row>
    <row r="43" spans="1:5">
      <c r="A43" s="80"/>
    </row>
    <row r="44" spans="1:5">
      <c r="A44" s="80"/>
    </row>
  </sheetData>
  <mergeCells count="4">
    <mergeCell ref="D2:E2"/>
    <mergeCell ref="A4:E4"/>
    <mergeCell ref="A7:A8"/>
    <mergeCell ref="D7:E7"/>
  </mergeCells>
  <pageMargins left="0.7" right="0.7" top="0" bottom="0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58"/>
  <sheetViews>
    <sheetView workbookViewId="0">
      <selection activeCell="K18" sqref="K18"/>
    </sheetView>
  </sheetViews>
  <sheetFormatPr defaultColWidth="8.7109375" defaultRowHeight="12"/>
  <cols>
    <col min="1" max="1" width="3.5703125" style="191" customWidth="1"/>
    <col min="2" max="2" width="29" style="191" customWidth="1"/>
    <col min="3" max="6" width="8.7109375" style="191"/>
    <col min="7" max="7" width="8.140625" style="191" customWidth="1"/>
    <col min="8" max="8" width="7.85546875" style="191" customWidth="1"/>
    <col min="9" max="9" width="7.28515625" style="191" customWidth="1"/>
    <col min="10" max="16384" width="8.7109375" style="191"/>
  </cols>
  <sheetData>
    <row r="1" spans="1:23">
      <c r="S1" s="271" t="s">
        <v>403</v>
      </c>
      <c r="T1" s="271"/>
      <c r="U1" s="271"/>
    </row>
    <row r="2" spans="1:23">
      <c r="A2" s="131"/>
      <c r="B2" s="123" t="s">
        <v>402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4"/>
      <c r="N2" s="124"/>
      <c r="O2" s="125"/>
      <c r="P2" s="125"/>
      <c r="Q2" s="131"/>
      <c r="R2" s="125"/>
      <c r="V2" s="131"/>
      <c r="W2" s="131"/>
    </row>
    <row r="3" spans="1:23" ht="12.75" thickBot="1">
      <c r="A3" s="131"/>
      <c r="B3" s="123"/>
      <c r="C3" s="123"/>
      <c r="D3" s="123"/>
      <c r="E3" s="123"/>
      <c r="F3" s="123"/>
      <c r="G3" s="123"/>
      <c r="H3" s="123"/>
      <c r="I3" s="123"/>
      <c r="J3" s="126"/>
      <c r="K3" s="126"/>
      <c r="L3" s="126"/>
      <c r="M3" s="124"/>
      <c r="N3" s="124"/>
      <c r="O3" s="125"/>
      <c r="P3" s="125"/>
      <c r="Q3" s="131"/>
      <c r="R3" s="125"/>
      <c r="S3" s="131"/>
      <c r="T3" s="125"/>
      <c r="U3" s="127" t="s">
        <v>404</v>
      </c>
      <c r="V3" s="131"/>
      <c r="W3" s="131"/>
    </row>
    <row r="4" spans="1:23" ht="12.75" thickBot="1">
      <c r="A4" s="128"/>
      <c r="B4" s="128"/>
      <c r="C4" s="129" t="s">
        <v>405</v>
      </c>
      <c r="D4" s="269" t="s">
        <v>406</v>
      </c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130"/>
      <c r="V4" s="131"/>
      <c r="W4" s="131"/>
    </row>
    <row r="5" spans="1:23">
      <c r="A5" s="132"/>
      <c r="B5" s="133" t="s">
        <v>4</v>
      </c>
      <c r="C5" s="134" t="s">
        <v>407</v>
      </c>
      <c r="D5" s="129" t="s">
        <v>408</v>
      </c>
      <c r="E5" s="129" t="s">
        <v>409</v>
      </c>
      <c r="F5" s="129" t="s">
        <v>410</v>
      </c>
      <c r="G5" s="129" t="s">
        <v>411</v>
      </c>
      <c r="H5" s="129" t="s">
        <v>412</v>
      </c>
      <c r="I5" s="129" t="s">
        <v>413</v>
      </c>
      <c r="J5" s="129" t="s">
        <v>414</v>
      </c>
      <c r="K5" s="129" t="s">
        <v>415</v>
      </c>
      <c r="L5" s="129" t="s">
        <v>416</v>
      </c>
      <c r="M5" s="129" t="s">
        <v>417</v>
      </c>
      <c r="N5" s="129" t="s">
        <v>418</v>
      </c>
      <c r="O5" s="129" t="s">
        <v>419</v>
      </c>
      <c r="P5" s="129" t="s">
        <v>420</v>
      </c>
      <c r="Q5" s="129" t="s">
        <v>421</v>
      </c>
      <c r="R5" s="129" t="s">
        <v>422</v>
      </c>
      <c r="S5" s="129" t="s">
        <v>419</v>
      </c>
      <c r="T5" s="129" t="s">
        <v>423</v>
      </c>
      <c r="U5" s="135" t="s">
        <v>424</v>
      </c>
      <c r="V5" s="131"/>
      <c r="W5" s="131"/>
    </row>
    <row r="6" spans="1:23" ht="12.75" thickBot="1">
      <c r="A6" s="132"/>
      <c r="B6" s="136"/>
      <c r="C6" s="137"/>
      <c r="D6" s="137" t="s">
        <v>425</v>
      </c>
      <c r="E6" s="137" t="s">
        <v>426</v>
      </c>
      <c r="F6" s="137" t="s">
        <v>427</v>
      </c>
      <c r="G6" s="137"/>
      <c r="H6" s="137" t="s">
        <v>428</v>
      </c>
      <c r="I6" s="137" t="s">
        <v>429</v>
      </c>
      <c r="J6" s="137"/>
      <c r="K6" s="137"/>
      <c r="L6" s="137" t="s">
        <v>430</v>
      </c>
      <c r="M6" s="137" t="s">
        <v>431</v>
      </c>
      <c r="N6" s="137" t="s">
        <v>432</v>
      </c>
      <c r="O6" s="137" t="s">
        <v>433</v>
      </c>
      <c r="P6" s="137" t="s">
        <v>434</v>
      </c>
      <c r="Q6" s="137" t="s">
        <v>435</v>
      </c>
      <c r="R6" s="137" t="s">
        <v>436</v>
      </c>
      <c r="S6" s="137" t="s">
        <v>437</v>
      </c>
      <c r="T6" s="138"/>
      <c r="U6" s="139" t="s">
        <v>438</v>
      </c>
      <c r="V6" s="131"/>
      <c r="W6" s="131"/>
    </row>
    <row r="7" spans="1:23">
      <c r="A7" s="140">
        <v>1</v>
      </c>
      <c r="B7" s="141">
        <v>2</v>
      </c>
      <c r="C7" s="142">
        <v>3</v>
      </c>
      <c r="D7" s="142">
        <v>4</v>
      </c>
      <c r="E7" s="142">
        <v>5</v>
      </c>
      <c r="F7" s="142">
        <v>6</v>
      </c>
      <c r="G7" s="143">
        <v>7</v>
      </c>
      <c r="H7" s="143">
        <v>8</v>
      </c>
      <c r="I7" s="143">
        <v>9</v>
      </c>
      <c r="J7" s="143">
        <v>10</v>
      </c>
      <c r="K7" s="143">
        <v>11</v>
      </c>
      <c r="L7" s="143">
        <v>12</v>
      </c>
      <c r="M7" s="143">
        <v>13</v>
      </c>
      <c r="N7" s="143">
        <v>14</v>
      </c>
      <c r="O7" s="143">
        <v>15</v>
      </c>
      <c r="P7" s="143">
        <v>16</v>
      </c>
      <c r="Q7" s="143">
        <v>17</v>
      </c>
      <c r="R7" s="143">
        <v>18</v>
      </c>
      <c r="S7" s="143">
        <v>19</v>
      </c>
      <c r="T7" s="143">
        <v>20</v>
      </c>
      <c r="U7" s="144">
        <v>21</v>
      </c>
      <c r="V7" s="131"/>
      <c r="W7" s="131"/>
    </row>
    <row r="8" spans="1:23">
      <c r="A8" s="145">
        <v>1</v>
      </c>
      <c r="B8" s="192" t="s">
        <v>439</v>
      </c>
      <c r="C8" s="146">
        <v>1216.4000000000001</v>
      </c>
      <c r="D8" s="146">
        <v>755.9</v>
      </c>
      <c r="E8" s="146">
        <v>216.2</v>
      </c>
      <c r="F8" s="146">
        <v>244.3</v>
      </c>
      <c r="G8" s="146">
        <v>90.9</v>
      </c>
      <c r="H8" s="146">
        <v>0.2</v>
      </c>
      <c r="I8" s="146">
        <v>61.1</v>
      </c>
      <c r="J8" s="146">
        <v>23.5</v>
      </c>
      <c r="K8" s="146">
        <v>2.8</v>
      </c>
      <c r="L8" s="146">
        <v>0</v>
      </c>
      <c r="M8" s="146">
        <v>1</v>
      </c>
      <c r="N8" s="146">
        <v>12</v>
      </c>
      <c r="O8" s="146">
        <v>30.1</v>
      </c>
      <c r="P8" s="146">
        <v>0.2</v>
      </c>
      <c r="Q8" s="146">
        <v>6.2</v>
      </c>
      <c r="R8" s="146">
        <v>3</v>
      </c>
      <c r="S8" s="146">
        <v>13.3</v>
      </c>
      <c r="T8" s="147">
        <v>0</v>
      </c>
      <c r="U8" s="146">
        <v>0</v>
      </c>
      <c r="V8" s="148"/>
      <c r="W8" s="148"/>
    </row>
    <row r="9" spans="1:23">
      <c r="A9" s="145">
        <v>2</v>
      </c>
      <c r="B9" s="150" t="s">
        <v>440</v>
      </c>
      <c r="C9" s="149">
        <v>689.5</v>
      </c>
      <c r="D9" s="149">
        <v>455</v>
      </c>
      <c r="E9" s="149">
        <v>123</v>
      </c>
      <c r="F9" s="149">
        <v>111.50000000000001</v>
      </c>
      <c r="G9" s="149">
        <v>0</v>
      </c>
      <c r="H9" s="149">
        <v>0.2</v>
      </c>
      <c r="I9" s="149">
        <v>61.1</v>
      </c>
      <c r="J9" s="149">
        <v>23.5</v>
      </c>
      <c r="K9" s="149">
        <v>2.8</v>
      </c>
      <c r="L9" s="149">
        <v>0</v>
      </c>
      <c r="M9" s="149">
        <v>1</v>
      </c>
      <c r="N9" s="149">
        <v>0.4</v>
      </c>
      <c r="O9" s="149">
        <v>7.3</v>
      </c>
      <c r="P9" s="149">
        <v>0.2</v>
      </c>
      <c r="Q9" s="149">
        <v>6.2</v>
      </c>
      <c r="R9" s="149">
        <v>0.5</v>
      </c>
      <c r="S9" s="149">
        <v>8.3000000000000007</v>
      </c>
      <c r="T9" s="149">
        <v>0</v>
      </c>
      <c r="U9" s="149"/>
      <c r="V9" s="148"/>
      <c r="W9" s="148"/>
    </row>
    <row r="10" spans="1:23">
      <c r="A10" s="145">
        <v>3</v>
      </c>
      <c r="B10" s="150" t="s">
        <v>441</v>
      </c>
      <c r="C10" s="149">
        <v>113.7</v>
      </c>
      <c r="D10" s="149"/>
      <c r="E10" s="149">
        <v>0</v>
      </c>
      <c r="F10" s="149">
        <v>113.7</v>
      </c>
      <c r="G10" s="149">
        <v>90.9</v>
      </c>
      <c r="H10" s="149"/>
      <c r="I10" s="149"/>
      <c r="J10" s="149"/>
      <c r="K10" s="149"/>
      <c r="L10" s="149"/>
      <c r="M10" s="149"/>
      <c r="N10" s="149"/>
      <c r="O10" s="149">
        <v>22.8</v>
      </c>
      <c r="P10" s="149"/>
      <c r="Q10" s="149"/>
      <c r="R10" s="149">
        <v>0</v>
      </c>
      <c r="S10" s="149"/>
      <c r="T10" s="151"/>
      <c r="U10" s="152"/>
      <c r="V10" s="148"/>
      <c r="W10" s="148"/>
    </row>
    <row r="11" spans="1:23">
      <c r="A11" s="145">
        <v>4</v>
      </c>
      <c r="B11" s="150" t="s">
        <v>442</v>
      </c>
      <c r="C11" s="149">
        <v>413.2</v>
      </c>
      <c r="D11" s="149">
        <v>300.89999999999998</v>
      </c>
      <c r="E11" s="149">
        <v>93.2</v>
      </c>
      <c r="F11" s="149">
        <v>19.100000000000001</v>
      </c>
      <c r="G11" s="149"/>
      <c r="H11" s="149"/>
      <c r="I11" s="149"/>
      <c r="J11" s="149"/>
      <c r="K11" s="149"/>
      <c r="L11" s="149"/>
      <c r="M11" s="149"/>
      <c r="N11" s="149">
        <v>11.6</v>
      </c>
      <c r="O11" s="149"/>
      <c r="P11" s="149"/>
      <c r="Q11" s="149"/>
      <c r="R11" s="149">
        <v>2.5</v>
      </c>
      <c r="S11" s="149">
        <v>5</v>
      </c>
      <c r="T11" s="151"/>
      <c r="U11" s="152"/>
      <c r="V11" s="148"/>
      <c r="W11" s="148"/>
    </row>
    <row r="12" spans="1:23">
      <c r="A12" s="145">
        <v>5</v>
      </c>
      <c r="B12" s="192" t="s">
        <v>443</v>
      </c>
      <c r="C12" s="146">
        <v>1404.2</v>
      </c>
      <c r="D12" s="146">
        <v>884.8</v>
      </c>
      <c r="E12" s="146">
        <v>251.5</v>
      </c>
      <c r="F12" s="146">
        <v>267.89999999999998</v>
      </c>
      <c r="G12" s="146">
        <v>114.4</v>
      </c>
      <c r="H12" s="146">
        <v>0.2</v>
      </c>
      <c r="I12" s="146">
        <v>53.4</v>
      </c>
      <c r="J12" s="146">
        <v>23.4</v>
      </c>
      <c r="K12" s="146">
        <v>2.8</v>
      </c>
      <c r="L12" s="146">
        <v>0</v>
      </c>
      <c r="M12" s="146">
        <v>1</v>
      </c>
      <c r="N12" s="146">
        <v>11.700000000000001</v>
      </c>
      <c r="O12" s="146">
        <v>38.799999999999997</v>
      </c>
      <c r="P12" s="146">
        <v>0.2</v>
      </c>
      <c r="Q12" s="146">
        <v>6.1</v>
      </c>
      <c r="R12" s="146">
        <v>3.3</v>
      </c>
      <c r="S12" s="146">
        <v>12.600000000000001</v>
      </c>
      <c r="T12" s="147">
        <v>0</v>
      </c>
      <c r="U12" s="146">
        <v>0</v>
      </c>
      <c r="V12" s="148"/>
      <c r="W12" s="148"/>
    </row>
    <row r="13" spans="1:23">
      <c r="A13" s="145">
        <v>6</v>
      </c>
      <c r="B13" s="150" t="s">
        <v>440</v>
      </c>
      <c r="C13" s="149">
        <v>829</v>
      </c>
      <c r="D13" s="149">
        <v>571.5</v>
      </c>
      <c r="E13" s="149">
        <v>154.5</v>
      </c>
      <c r="F13" s="149">
        <v>103</v>
      </c>
      <c r="G13" s="149">
        <v>0</v>
      </c>
      <c r="H13" s="149">
        <v>0.2</v>
      </c>
      <c r="I13" s="149">
        <v>53.4</v>
      </c>
      <c r="J13" s="149">
        <v>23.4</v>
      </c>
      <c r="K13" s="149">
        <v>2.8</v>
      </c>
      <c r="L13" s="149">
        <v>0</v>
      </c>
      <c r="M13" s="149">
        <v>1</v>
      </c>
      <c r="N13" s="149">
        <v>0.4</v>
      </c>
      <c r="O13" s="149">
        <v>7.1</v>
      </c>
      <c r="P13" s="149">
        <v>0.2</v>
      </c>
      <c r="Q13" s="149">
        <v>6.1</v>
      </c>
      <c r="R13" s="149">
        <v>0.7</v>
      </c>
      <c r="S13" s="149">
        <v>7.7</v>
      </c>
      <c r="T13" s="149">
        <v>0</v>
      </c>
      <c r="U13" s="149"/>
      <c r="V13" s="148"/>
      <c r="W13" s="148"/>
    </row>
    <row r="14" spans="1:23">
      <c r="A14" s="145">
        <v>7</v>
      </c>
      <c r="B14" s="150" t="s">
        <v>441</v>
      </c>
      <c r="C14" s="149">
        <v>146.1</v>
      </c>
      <c r="D14" s="153"/>
      <c r="E14" s="149">
        <v>0</v>
      </c>
      <c r="F14" s="149">
        <v>146.1</v>
      </c>
      <c r="G14" s="154">
        <v>114.4</v>
      </c>
      <c r="H14" s="149"/>
      <c r="I14" s="149"/>
      <c r="J14" s="149"/>
      <c r="K14" s="149"/>
      <c r="L14" s="149"/>
      <c r="M14" s="149"/>
      <c r="N14" s="149"/>
      <c r="O14" s="149">
        <v>31.7</v>
      </c>
      <c r="P14" s="149"/>
      <c r="Q14" s="149"/>
      <c r="R14" s="149">
        <v>0</v>
      </c>
      <c r="S14" s="149"/>
      <c r="T14" s="151"/>
      <c r="U14" s="152"/>
      <c r="V14" s="148"/>
      <c r="W14" s="148"/>
    </row>
    <row r="15" spans="1:23">
      <c r="A15" s="145">
        <v>8</v>
      </c>
      <c r="B15" s="150" t="s">
        <v>442</v>
      </c>
      <c r="C15" s="149">
        <v>429.1</v>
      </c>
      <c r="D15" s="153">
        <v>313.3</v>
      </c>
      <c r="E15" s="149">
        <v>97</v>
      </c>
      <c r="F15" s="149">
        <v>18.8</v>
      </c>
      <c r="G15" s="155"/>
      <c r="H15" s="149"/>
      <c r="I15" s="149"/>
      <c r="J15" s="149"/>
      <c r="K15" s="149"/>
      <c r="L15" s="149"/>
      <c r="M15" s="149"/>
      <c r="N15" s="149">
        <v>11.3</v>
      </c>
      <c r="O15" s="149"/>
      <c r="P15" s="149"/>
      <c r="Q15" s="149"/>
      <c r="R15" s="149">
        <v>2.6</v>
      </c>
      <c r="S15" s="149">
        <v>4.9000000000000004</v>
      </c>
      <c r="T15" s="151"/>
      <c r="U15" s="152"/>
      <c r="V15" s="148"/>
      <c r="W15" s="148"/>
    </row>
    <row r="16" spans="1:23">
      <c r="A16" s="145">
        <v>9</v>
      </c>
      <c r="B16" s="192" t="s">
        <v>444</v>
      </c>
      <c r="C16" s="146">
        <v>1285.4000000000001</v>
      </c>
      <c r="D16" s="146">
        <v>791.2</v>
      </c>
      <c r="E16" s="146">
        <v>230.39999999999998</v>
      </c>
      <c r="F16" s="146">
        <v>263.8</v>
      </c>
      <c r="G16" s="146">
        <v>99.2</v>
      </c>
      <c r="H16" s="146">
        <v>0.3</v>
      </c>
      <c r="I16" s="146">
        <v>63.2</v>
      </c>
      <c r="J16" s="146">
        <v>23.1</v>
      </c>
      <c r="K16" s="146">
        <v>2.8</v>
      </c>
      <c r="L16" s="146">
        <v>0</v>
      </c>
      <c r="M16" s="146">
        <v>1.2</v>
      </c>
      <c r="N16" s="146">
        <v>14.8</v>
      </c>
      <c r="O16" s="146">
        <v>29.9</v>
      </c>
      <c r="P16" s="146">
        <v>0.2</v>
      </c>
      <c r="Q16" s="146">
        <v>7.7</v>
      </c>
      <c r="R16" s="146">
        <v>3.9</v>
      </c>
      <c r="S16" s="146">
        <v>17.5</v>
      </c>
      <c r="T16" s="147">
        <v>0</v>
      </c>
      <c r="U16" s="146">
        <v>0</v>
      </c>
      <c r="V16" s="148"/>
      <c r="W16" s="148"/>
    </row>
    <row r="17" spans="1:23">
      <c r="A17" s="145">
        <v>10</v>
      </c>
      <c r="B17" s="150" t="s">
        <v>440</v>
      </c>
      <c r="C17" s="149">
        <v>592.80000000000007</v>
      </c>
      <c r="D17" s="149">
        <v>374</v>
      </c>
      <c r="E17" s="149">
        <v>101.1</v>
      </c>
      <c r="F17" s="149">
        <v>117.7</v>
      </c>
      <c r="G17" s="149">
        <v>0</v>
      </c>
      <c r="H17" s="149">
        <v>0.3</v>
      </c>
      <c r="I17" s="149">
        <v>63.2</v>
      </c>
      <c r="J17" s="149">
        <v>23.1</v>
      </c>
      <c r="K17" s="149">
        <v>2.8</v>
      </c>
      <c r="L17" s="149">
        <v>0</v>
      </c>
      <c r="M17" s="149">
        <v>1.2</v>
      </c>
      <c r="N17" s="149">
        <v>0.4</v>
      </c>
      <c r="O17" s="149">
        <v>9.1</v>
      </c>
      <c r="P17" s="149">
        <v>0.2</v>
      </c>
      <c r="Q17" s="149">
        <v>7.7</v>
      </c>
      <c r="R17" s="149">
        <v>0.4</v>
      </c>
      <c r="S17" s="149">
        <v>9.3000000000000007</v>
      </c>
      <c r="T17" s="149">
        <v>0</v>
      </c>
      <c r="U17" s="149"/>
      <c r="V17" s="148"/>
      <c r="W17" s="148"/>
    </row>
    <row r="18" spans="1:23">
      <c r="A18" s="145">
        <v>11</v>
      </c>
      <c r="B18" s="150" t="s">
        <v>441</v>
      </c>
      <c r="C18" s="149">
        <v>122</v>
      </c>
      <c r="D18" s="153"/>
      <c r="E18" s="149">
        <v>0</v>
      </c>
      <c r="F18" s="149">
        <v>122</v>
      </c>
      <c r="G18" s="154">
        <v>99.2</v>
      </c>
      <c r="H18" s="154"/>
      <c r="I18" s="154"/>
      <c r="J18" s="154"/>
      <c r="K18" s="154"/>
      <c r="L18" s="154"/>
      <c r="M18" s="154"/>
      <c r="N18" s="154"/>
      <c r="O18" s="154">
        <v>20.8</v>
      </c>
      <c r="P18" s="154"/>
      <c r="Q18" s="154"/>
      <c r="R18" s="149">
        <v>0</v>
      </c>
      <c r="S18" s="154">
        <v>2</v>
      </c>
      <c r="T18" s="156"/>
      <c r="U18" s="152"/>
      <c r="V18" s="148"/>
      <c r="W18" s="148"/>
    </row>
    <row r="19" spans="1:23">
      <c r="A19" s="145">
        <v>12</v>
      </c>
      <c r="B19" s="150" t="s">
        <v>445</v>
      </c>
      <c r="C19" s="149">
        <v>1.2000000000000002</v>
      </c>
      <c r="D19" s="153">
        <v>0.9</v>
      </c>
      <c r="E19" s="149">
        <v>0.2</v>
      </c>
      <c r="F19" s="149">
        <v>0.1</v>
      </c>
      <c r="G19" s="154"/>
      <c r="H19" s="154"/>
      <c r="I19" s="154"/>
      <c r="J19" s="154"/>
      <c r="K19" s="154"/>
      <c r="L19" s="154"/>
      <c r="M19" s="154"/>
      <c r="N19" s="154"/>
      <c r="O19" s="154">
        <v>0.1</v>
      </c>
      <c r="P19" s="154"/>
      <c r="Q19" s="154"/>
      <c r="R19" s="149"/>
      <c r="S19" s="154"/>
      <c r="T19" s="156"/>
      <c r="U19" s="152"/>
      <c r="V19" s="148"/>
      <c r="W19" s="148"/>
    </row>
    <row r="20" spans="1:23">
      <c r="A20" s="145">
        <v>13</v>
      </c>
      <c r="B20" s="150" t="s">
        <v>442</v>
      </c>
      <c r="C20" s="149">
        <v>570.6</v>
      </c>
      <c r="D20" s="153">
        <v>417.2</v>
      </c>
      <c r="E20" s="149">
        <v>129.29999999999998</v>
      </c>
      <c r="F20" s="149">
        <v>24.099999999999998</v>
      </c>
      <c r="G20" s="154"/>
      <c r="H20" s="154"/>
      <c r="I20" s="154"/>
      <c r="J20" s="154"/>
      <c r="K20" s="154"/>
      <c r="L20" s="154"/>
      <c r="M20" s="154"/>
      <c r="N20" s="154">
        <v>14.4</v>
      </c>
      <c r="O20" s="154"/>
      <c r="P20" s="154"/>
      <c r="Q20" s="154"/>
      <c r="R20" s="149">
        <v>3.5</v>
      </c>
      <c r="S20" s="154">
        <v>6.1999999999999993</v>
      </c>
      <c r="T20" s="156"/>
      <c r="U20" s="152"/>
      <c r="V20" s="148"/>
      <c r="W20" s="148"/>
    </row>
    <row r="21" spans="1:23">
      <c r="A21" s="145">
        <v>14</v>
      </c>
      <c r="B21" s="192" t="s">
        <v>446</v>
      </c>
      <c r="C21" s="146">
        <v>1465.1999999999998</v>
      </c>
      <c r="D21" s="146">
        <v>891.1</v>
      </c>
      <c r="E21" s="146">
        <v>260.10000000000002</v>
      </c>
      <c r="F21" s="146">
        <v>314</v>
      </c>
      <c r="G21" s="146">
        <v>127.6</v>
      </c>
      <c r="H21" s="146">
        <v>0.4</v>
      </c>
      <c r="I21" s="146">
        <v>65</v>
      </c>
      <c r="J21" s="146">
        <v>24.8</v>
      </c>
      <c r="K21" s="146">
        <v>2.8</v>
      </c>
      <c r="L21" s="146">
        <v>0</v>
      </c>
      <c r="M21" s="146">
        <v>1.5</v>
      </c>
      <c r="N21" s="146">
        <v>18</v>
      </c>
      <c r="O21" s="146">
        <v>41.2</v>
      </c>
      <c r="P21" s="146">
        <v>0.2</v>
      </c>
      <c r="Q21" s="146">
        <v>9.3000000000000007</v>
      </c>
      <c r="R21" s="146">
        <v>4.5999999999999996</v>
      </c>
      <c r="S21" s="146">
        <v>18.600000000000001</v>
      </c>
      <c r="T21" s="147">
        <v>0</v>
      </c>
      <c r="U21" s="146">
        <v>0</v>
      </c>
      <c r="V21" s="148"/>
      <c r="W21" s="148"/>
    </row>
    <row r="22" spans="1:23">
      <c r="A22" s="145">
        <v>15</v>
      </c>
      <c r="B22" s="150" t="s">
        <v>440</v>
      </c>
      <c r="C22" s="149">
        <v>637.6</v>
      </c>
      <c r="D22" s="149">
        <v>402</v>
      </c>
      <c r="E22" s="149">
        <v>108.6</v>
      </c>
      <c r="F22" s="149">
        <v>127</v>
      </c>
      <c r="G22" s="149">
        <v>0</v>
      </c>
      <c r="H22" s="149">
        <v>0.4</v>
      </c>
      <c r="I22" s="149">
        <v>65</v>
      </c>
      <c r="J22" s="149">
        <v>24.8</v>
      </c>
      <c r="K22" s="149">
        <v>2.8</v>
      </c>
      <c r="L22" s="149">
        <v>0</v>
      </c>
      <c r="M22" s="149">
        <v>1.5</v>
      </c>
      <c r="N22" s="149">
        <v>0.4</v>
      </c>
      <c r="O22" s="149">
        <v>11.1</v>
      </c>
      <c r="P22" s="149">
        <v>0.2</v>
      </c>
      <c r="Q22" s="149">
        <v>9.3000000000000007</v>
      </c>
      <c r="R22" s="149">
        <v>0.5</v>
      </c>
      <c r="S22" s="149">
        <v>11</v>
      </c>
      <c r="T22" s="149">
        <v>0</v>
      </c>
      <c r="U22" s="149"/>
      <c r="V22" s="148"/>
      <c r="W22" s="148"/>
    </row>
    <row r="23" spans="1:23">
      <c r="A23" s="145">
        <v>16</v>
      </c>
      <c r="B23" s="150" t="s">
        <v>441</v>
      </c>
      <c r="C23" s="149">
        <v>157.69999999999999</v>
      </c>
      <c r="D23" s="153"/>
      <c r="E23" s="149">
        <v>0</v>
      </c>
      <c r="F23" s="149">
        <v>157.69999999999999</v>
      </c>
      <c r="G23" s="154">
        <v>127.6</v>
      </c>
      <c r="H23" s="154"/>
      <c r="I23" s="154"/>
      <c r="J23" s="154"/>
      <c r="K23" s="154"/>
      <c r="L23" s="154"/>
      <c r="M23" s="154"/>
      <c r="N23" s="154"/>
      <c r="O23" s="154">
        <v>30.1</v>
      </c>
      <c r="P23" s="154"/>
      <c r="Q23" s="154"/>
      <c r="R23" s="149">
        <v>0</v>
      </c>
      <c r="S23" s="154"/>
      <c r="T23" s="156"/>
      <c r="U23" s="152"/>
      <c r="V23" s="148"/>
      <c r="W23" s="148"/>
    </row>
    <row r="24" spans="1:23">
      <c r="A24" s="145">
        <v>17</v>
      </c>
      <c r="B24" s="150" t="s">
        <v>442</v>
      </c>
      <c r="C24" s="149">
        <v>669.9</v>
      </c>
      <c r="D24" s="153">
        <v>489.1</v>
      </c>
      <c r="E24" s="149">
        <v>151.5</v>
      </c>
      <c r="F24" s="149">
        <v>29.300000000000004</v>
      </c>
      <c r="G24" s="154"/>
      <c r="H24" s="154"/>
      <c r="I24" s="154"/>
      <c r="J24" s="154"/>
      <c r="K24" s="154"/>
      <c r="L24" s="154"/>
      <c r="M24" s="154"/>
      <c r="N24" s="154">
        <v>17.600000000000001</v>
      </c>
      <c r="O24" s="154"/>
      <c r="P24" s="154"/>
      <c r="Q24" s="154"/>
      <c r="R24" s="149">
        <v>4.0999999999999996</v>
      </c>
      <c r="S24" s="154">
        <v>7.6</v>
      </c>
      <c r="T24" s="156"/>
      <c r="U24" s="152"/>
      <c r="V24" s="148"/>
      <c r="W24" s="148"/>
    </row>
    <row r="25" spans="1:23">
      <c r="A25" s="145">
        <v>18</v>
      </c>
      <c r="B25" s="192" t="s">
        <v>447</v>
      </c>
      <c r="C25" s="146">
        <v>1382.3000000000002</v>
      </c>
      <c r="D25" s="146">
        <v>828.3</v>
      </c>
      <c r="E25" s="146">
        <v>239.2</v>
      </c>
      <c r="F25" s="146">
        <v>314.8</v>
      </c>
      <c r="G25" s="146">
        <v>133.80000000000001</v>
      </c>
      <c r="H25" s="146">
        <v>0.3</v>
      </c>
      <c r="I25" s="146">
        <v>62.2</v>
      </c>
      <c r="J25" s="146">
        <v>23.4</v>
      </c>
      <c r="K25" s="146">
        <v>2.8</v>
      </c>
      <c r="L25" s="146">
        <v>0</v>
      </c>
      <c r="M25" s="146">
        <v>1.2</v>
      </c>
      <c r="N25" s="146">
        <v>15.700000000000001</v>
      </c>
      <c r="O25" s="146">
        <v>42.7</v>
      </c>
      <c r="P25" s="146">
        <v>0.2</v>
      </c>
      <c r="Q25" s="146">
        <v>8.1999999999999993</v>
      </c>
      <c r="R25" s="146">
        <v>3.7</v>
      </c>
      <c r="S25" s="146">
        <v>20.6</v>
      </c>
      <c r="T25" s="147">
        <v>0</v>
      </c>
      <c r="U25" s="146">
        <v>0</v>
      </c>
      <c r="V25" s="148"/>
      <c r="W25" s="148"/>
    </row>
    <row r="26" spans="1:23">
      <c r="A26" s="145">
        <v>19</v>
      </c>
      <c r="B26" s="150" t="s">
        <v>440</v>
      </c>
      <c r="C26" s="149">
        <v>688.2</v>
      </c>
      <c r="D26" s="149">
        <v>443.6</v>
      </c>
      <c r="E26" s="149">
        <v>120</v>
      </c>
      <c r="F26" s="149">
        <v>124.60000000000002</v>
      </c>
      <c r="G26" s="149">
        <v>0</v>
      </c>
      <c r="H26" s="149">
        <v>0.3</v>
      </c>
      <c r="I26" s="149">
        <v>62.2</v>
      </c>
      <c r="J26" s="149">
        <v>23.4</v>
      </c>
      <c r="K26" s="149">
        <v>2.8</v>
      </c>
      <c r="L26" s="149">
        <v>0</v>
      </c>
      <c r="M26" s="149">
        <v>1.2</v>
      </c>
      <c r="N26" s="149">
        <v>0.4</v>
      </c>
      <c r="O26" s="149">
        <v>15.5</v>
      </c>
      <c r="P26" s="149">
        <v>0.2</v>
      </c>
      <c r="Q26" s="149">
        <v>8.1999999999999993</v>
      </c>
      <c r="R26" s="149">
        <v>0.5</v>
      </c>
      <c r="S26" s="149">
        <v>9.9</v>
      </c>
      <c r="T26" s="149">
        <v>0</v>
      </c>
      <c r="U26" s="149"/>
      <c r="V26" s="148"/>
      <c r="W26" s="148"/>
    </row>
    <row r="27" spans="1:23">
      <c r="A27" s="145">
        <v>20</v>
      </c>
      <c r="B27" s="150" t="s">
        <v>441</v>
      </c>
      <c r="C27" s="149">
        <v>165</v>
      </c>
      <c r="D27" s="153"/>
      <c r="E27" s="149">
        <v>0</v>
      </c>
      <c r="F27" s="149">
        <v>165</v>
      </c>
      <c r="G27" s="154">
        <v>133.80000000000001</v>
      </c>
      <c r="H27" s="154"/>
      <c r="I27" s="154"/>
      <c r="J27" s="154"/>
      <c r="K27" s="154"/>
      <c r="L27" s="154"/>
      <c r="M27" s="154"/>
      <c r="N27" s="154"/>
      <c r="O27" s="154">
        <v>27.2</v>
      </c>
      <c r="P27" s="154"/>
      <c r="Q27" s="154"/>
      <c r="R27" s="149">
        <v>0</v>
      </c>
      <c r="S27" s="154">
        <v>4</v>
      </c>
      <c r="T27" s="156"/>
      <c r="U27" s="152"/>
      <c r="V27" s="148"/>
      <c r="W27" s="148"/>
    </row>
    <row r="28" spans="1:23">
      <c r="A28" s="145">
        <v>21</v>
      </c>
      <c r="B28" s="150" t="s">
        <v>442</v>
      </c>
      <c r="C28" s="149">
        <v>529.1</v>
      </c>
      <c r="D28" s="153">
        <v>384.7</v>
      </c>
      <c r="E28" s="149">
        <v>119.2</v>
      </c>
      <c r="F28" s="149">
        <v>25.2</v>
      </c>
      <c r="G28" s="154"/>
      <c r="H28" s="154"/>
      <c r="I28" s="154"/>
      <c r="J28" s="154"/>
      <c r="K28" s="154"/>
      <c r="L28" s="154"/>
      <c r="M28" s="154"/>
      <c r="N28" s="154">
        <v>15.3</v>
      </c>
      <c r="O28" s="154"/>
      <c r="P28" s="154"/>
      <c r="Q28" s="154"/>
      <c r="R28" s="149">
        <v>3.2</v>
      </c>
      <c r="S28" s="154">
        <v>6.7</v>
      </c>
      <c r="T28" s="156"/>
      <c r="U28" s="152"/>
      <c r="V28" s="148"/>
      <c r="W28" s="148"/>
    </row>
    <row r="29" spans="1:23">
      <c r="A29" s="145">
        <v>22</v>
      </c>
      <c r="B29" s="192" t="s">
        <v>448</v>
      </c>
      <c r="C29" s="146">
        <v>1482.9</v>
      </c>
      <c r="D29" s="146">
        <v>942.2</v>
      </c>
      <c r="E29" s="146">
        <v>268.29999999999995</v>
      </c>
      <c r="F29" s="146">
        <v>272.39999999999998</v>
      </c>
      <c r="G29" s="146">
        <v>92.1</v>
      </c>
      <c r="H29" s="146">
        <v>0.2</v>
      </c>
      <c r="I29" s="146">
        <v>77.7</v>
      </c>
      <c r="J29" s="146">
        <v>24.6</v>
      </c>
      <c r="K29" s="146">
        <v>2.8</v>
      </c>
      <c r="L29" s="146">
        <v>0</v>
      </c>
      <c r="M29" s="146">
        <v>1</v>
      </c>
      <c r="N29" s="146">
        <v>11.6</v>
      </c>
      <c r="O29" s="146">
        <v>39.4</v>
      </c>
      <c r="P29" s="146">
        <v>0.2</v>
      </c>
      <c r="Q29" s="146">
        <v>6.2</v>
      </c>
      <c r="R29" s="146">
        <v>3.5999999999999996</v>
      </c>
      <c r="S29" s="146">
        <v>13</v>
      </c>
      <c r="T29" s="147">
        <v>0</v>
      </c>
      <c r="U29" s="146">
        <v>0</v>
      </c>
      <c r="V29" s="148"/>
      <c r="W29" s="148"/>
    </row>
    <row r="30" spans="1:23">
      <c r="A30" s="145">
        <v>23</v>
      </c>
      <c r="B30" s="150" t="s">
        <v>440</v>
      </c>
      <c r="C30" s="149">
        <v>888.7</v>
      </c>
      <c r="D30" s="149">
        <v>598</v>
      </c>
      <c r="E30" s="149">
        <v>161.69999999999999</v>
      </c>
      <c r="F30" s="149">
        <v>129</v>
      </c>
      <c r="G30" s="149">
        <v>0</v>
      </c>
      <c r="H30" s="149">
        <v>0.2</v>
      </c>
      <c r="I30" s="149">
        <v>77.7</v>
      </c>
      <c r="J30" s="149">
        <v>24.6</v>
      </c>
      <c r="K30" s="149">
        <v>2.8</v>
      </c>
      <c r="L30" s="149">
        <v>0</v>
      </c>
      <c r="M30" s="149">
        <v>1</v>
      </c>
      <c r="N30" s="149">
        <v>0.4</v>
      </c>
      <c r="O30" s="149">
        <v>7.1</v>
      </c>
      <c r="P30" s="149">
        <v>0.2</v>
      </c>
      <c r="Q30" s="149">
        <v>6.2</v>
      </c>
      <c r="R30" s="149">
        <v>0.7</v>
      </c>
      <c r="S30" s="149">
        <v>8.1</v>
      </c>
      <c r="T30" s="149">
        <v>0</v>
      </c>
      <c r="U30" s="149"/>
      <c r="V30" s="148"/>
      <c r="W30" s="148"/>
    </row>
    <row r="31" spans="1:23">
      <c r="A31" s="145">
        <v>24</v>
      </c>
      <c r="B31" s="150" t="s">
        <v>441</v>
      </c>
      <c r="C31" s="149">
        <v>124.39999999999999</v>
      </c>
      <c r="D31" s="153"/>
      <c r="E31" s="149">
        <v>0</v>
      </c>
      <c r="F31" s="149">
        <v>124.39999999999999</v>
      </c>
      <c r="G31" s="154">
        <v>92.1</v>
      </c>
      <c r="H31" s="154"/>
      <c r="I31" s="154"/>
      <c r="J31" s="154"/>
      <c r="K31" s="154"/>
      <c r="L31" s="154"/>
      <c r="M31" s="154"/>
      <c r="N31" s="154"/>
      <c r="O31" s="154">
        <v>32.299999999999997</v>
      </c>
      <c r="P31" s="154"/>
      <c r="Q31" s="154"/>
      <c r="R31" s="149">
        <v>0</v>
      </c>
      <c r="S31" s="154"/>
      <c r="T31" s="156"/>
      <c r="U31" s="152"/>
      <c r="V31" s="148"/>
      <c r="W31" s="148"/>
    </row>
    <row r="32" spans="1:23">
      <c r="A32" s="145">
        <v>25</v>
      </c>
      <c r="B32" s="150" t="s">
        <v>442</v>
      </c>
      <c r="C32" s="149">
        <v>469.79999999999995</v>
      </c>
      <c r="D32" s="153">
        <v>344.2</v>
      </c>
      <c r="E32" s="149">
        <v>106.6</v>
      </c>
      <c r="F32" s="149">
        <v>19</v>
      </c>
      <c r="G32" s="154"/>
      <c r="H32" s="154"/>
      <c r="I32" s="154"/>
      <c r="J32" s="154"/>
      <c r="K32" s="154"/>
      <c r="L32" s="154"/>
      <c r="M32" s="154"/>
      <c r="N32" s="154">
        <v>11.2</v>
      </c>
      <c r="O32" s="154"/>
      <c r="P32" s="154"/>
      <c r="Q32" s="154"/>
      <c r="R32" s="149">
        <v>2.9</v>
      </c>
      <c r="S32" s="154">
        <v>4.9000000000000004</v>
      </c>
      <c r="T32" s="156"/>
      <c r="U32" s="152"/>
      <c r="V32" s="148"/>
      <c r="W32" s="148"/>
    </row>
    <row r="33" spans="1:23">
      <c r="A33" s="145">
        <v>26</v>
      </c>
      <c r="B33" s="192" t="s">
        <v>449</v>
      </c>
      <c r="C33" s="146">
        <v>1425.9</v>
      </c>
      <c r="D33" s="146">
        <v>839.6</v>
      </c>
      <c r="E33" s="146">
        <v>241.39999999999998</v>
      </c>
      <c r="F33" s="146">
        <v>344.9</v>
      </c>
      <c r="G33" s="146">
        <v>135.1</v>
      </c>
      <c r="H33" s="146">
        <v>0.3</v>
      </c>
      <c r="I33" s="146">
        <v>78.900000000000006</v>
      </c>
      <c r="J33" s="146">
        <v>36.6</v>
      </c>
      <c r="K33" s="146">
        <v>2.8</v>
      </c>
      <c r="L33" s="146">
        <v>0</v>
      </c>
      <c r="M33" s="146">
        <v>1.2</v>
      </c>
      <c r="N33" s="146">
        <v>15.3</v>
      </c>
      <c r="O33" s="146">
        <v>46.3</v>
      </c>
      <c r="P33" s="146">
        <v>0.2</v>
      </c>
      <c r="Q33" s="146">
        <v>8</v>
      </c>
      <c r="R33" s="146">
        <v>3.7</v>
      </c>
      <c r="S33" s="146">
        <v>16.5</v>
      </c>
      <c r="T33" s="147">
        <v>0</v>
      </c>
      <c r="U33" s="146">
        <v>0</v>
      </c>
      <c r="V33" s="148"/>
      <c r="W33" s="148"/>
    </row>
    <row r="34" spans="1:23">
      <c r="A34" s="145">
        <v>27</v>
      </c>
      <c r="B34" s="150" t="s">
        <v>440</v>
      </c>
      <c r="C34" s="149">
        <v>752.6</v>
      </c>
      <c r="D34" s="149">
        <v>475.6</v>
      </c>
      <c r="E34" s="149">
        <v>128.6</v>
      </c>
      <c r="F34" s="149">
        <v>148.4</v>
      </c>
      <c r="G34" s="149">
        <v>0</v>
      </c>
      <c r="H34" s="149">
        <v>0.3</v>
      </c>
      <c r="I34" s="149">
        <v>78.900000000000006</v>
      </c>
      <c r="J34" s="149">
        <v>36.6</v>
      </c>
      <c r="K34" s="149">
        <v>2.8</v>
      </c>
      <c r="L34" s="149">
        <v>0</v>
      </c>
      <c r="M34" s="149">
        <v>1.2</v>
      </c>
      <c r="N34" s="149">
        <v>0.4</v>
      </c>
      <c r="O34" s="149">
        <v>9.4</v>
      </c>
      <c r="P34" s="149">
        <v>0.2</v>
      </c>
      <c r="Q34" s="149">
        <v>8</v>
      </c>
      <c r="R34" s="149">
        <v>0.6</v>
      </c>
      <c r="S34" s="149">
        <v>10</v>
      </c>
      <c r="T34" s="149">
        <v>0</v>
      </c>
      <c r="U34" s="149"/>
      <c r="V34" s="148"/>
      <c r="W34" s="148"/>
    </row>
    <row r="35" spans="1:23">
      <c r="A35" s="145">
        <v>28</v>
      </c>
      <c r="B35" s="150" t="s">
        <v>441</v>
      </c>
      <c r="C35" s="149">
        <v>172</v>
      </c>
      <c r="D35" s="153"/>
      <c r="E35" s="149">
        <v>0</v>
      </c>
      <c r="F35" s="149">
        <v>172</v>
      </c>
      <c r="G35" s="154">
        <v>135.1</v>
      </c>
      <c r="H35" s="154"/>
      <c r="I35" s="154"/>
      <c r="J35" s="154"/>
      <c r="K35" s="154"/>
      <c r="L35" s="154"/>
      <c r="M35" s="154"/>
      <c r="N35" s="154"/>
      <c r="O35" s="154">
        <v>36.9</v>
      </c>
      <c r="P35" s="154"/>
      <c r="Q35" s="154"/>
      <c r="R35" s="149">
        <v>0</v>
      </c>
      <c r="S35" s="154"/>
      <c r="T35" s="156"/>
      <c r="U35" s="152"/>
      <c r="V35" s="148"/>
      <c r="W35" s="148"/>
    </row>
    <row r="36" spans="1:23">
      <c r="A36" s="145">
        <v>29</v>
      </c>
      <c r="B36" s="150" t="s">
        <v>442</v>
      </c>
      <c r="C36" s="149">
        <v>501.3</v>
      </c>
      <c r="D36" s="153">
        <v>364</v>
      </c>
      <c r="E36" s="149">
        <v>112.8</v>
      </c>
      <c r="F36" s="149">
        <v>24.5</v>
      </c>
      <c r="G36" s="154"/>
      <c r="H36" s="154"/>
      <c r="I36" s="154"/>
      <c r="J36" s="154"/>
      <c r="K36" s="154"/>
      <c r="L36" s="154"/>
      <c r="M36" s="154"/>
      <c r="N36" s="154">
        <v>14.9</v>
      </c>
      <c r="O36" s="154"/>
      <c r="P36" s="154"/>
      <c r="Q36" s="154"/>
      <c r="R36" s="149">
        <v>3.1</v>
      </c>
      <c r="S36" s="154">
        <v>6.5</v>
      </c>
      <c r="T36" s="156"/>
      <c r="U36" s="152"/>
      <c r="V36" s="148"/>
      <c r="W36" s="148"/>
    </row>
    <row r="37" spans="1:23" ht="24">
      <c r="A37" s="145">
        <v>30</v>
      </c>
      <c r="B37" s="193" t="s">
        <v>450</v>
      </c>
      <c r="C37" s="157">
        <v>926.60000000000014</v>
      </c>
      <c r="D37" s="157">
        <v>598.6</v>
      </c>
      <c r="E37" s="157">
        <v>175.5</v>
      </c>
      <c r="F37" s="157">
        <v>152.5</v>
      </c>
      <c r="G37" s="157">
        <v>42.6</v>
      </c>
      <c r="H37" s="157">
        <v>0.1</v>
      </c>
      <c r="I37" s="157">
        <v>45.3</v>
      </c>
      <c r="J37" s="157">
        <v>18.5</v>
      </c>
      <c r="K37" s="157">
        <v>1.4</v>
      </c>
      <c r="L37" s="157">
        <v>0</v>
      </c>
      <c r="M37" s="157">
        <v>0.7</v>
      </c>
      <c r="N37" s="157">
        <v>8.1999999999999993</v>
      </c>
      <c r="O37" s="157">
        <v>16.899999999999999</v>
      </c>
      <c r="P37" s="157">
        <v>0.1</v>
      </c>
      <c r="Q37" s="157">
        <v>4.3</v>
      </c>
      <c r="R37" s="157">
        <v>3.1999999999999997</v>
      </c>
      <c r="S37" s="157">
        <v>11.2</v>
      </c>
      <c r="T37" s="158">
        <v>0</v>
      </c>
      <c r="U37" s="157">
        <v>0</v>
      </c>
      <c r="V37" s="148"/>
      <c r="W37" s="148"/>
    </row>
    <row r="38" spans="1:23">
      <c r="A38" s="145">
        <v>31</v>
      </c>
      <c r="B38" s="150" t="s">
        <v>440</v>
      </c>
      <c r="C38" s="149">
        <v>400.8</v>
      </c>
      <c r="D38" s="149">
        <v>251.1</v>
      </c>
      <c r="E38" s="149">
        <v>67.900000000000006</v>
      </c>
      <c r="F38" s="149">
        <v>81.8</v>
      </c>
      <c r="G38" s="149">
        <v>0</v>
      </c>
      <c r="H38" s="149">
        <v>0.1</v>
      </c>
      <c r="I38" s="149">
        <v>45.3</v>
      </c>
      <c r="J38" s="149">
        <v>18.5</v>
      </c>
      <c r="K38" s="149">
        <v>1.4</v>
      </c>
      <c r="L38" s="149">
        <v>0</v>
      </c>
      <c r="M38" s="149">
        <v>0.7</v>
      </c>
      <c r="N38" s="149">
        <v>0.4</v>
      </c>
      <c r="O38" s="149">
        <v>4.9000000000000004</v>
      </c>
      <c r="P38" s="149">
        <v>0.1</v>
      </c>
      <c r="Q38" s="149">
        <v>4.3</v>
      </c>
      <c r="R38" s="149">
        <v>0.3</v>
      </c>
      <c r="S38" s="149">
        <v>5.8</v>
      </c>
      <c r="T38" s="149">
        <v>0</v>
      </c>
      <c r="U38" s="152"/>
      <c r="V38" s="148"/>
      <c r="W38" s="148"/>
    </row>
    <row r="39" spans="1:23">
      <c r="A39" s="145">
        <v>32</v>
      </c>
      <c r="B39" s="150" t="s">
        <v>441</v>
      </c>
      <c r="C39" s="149">
        <v>56.6</v>
      </c>
      <c r="D39" s="153"/>
      <c r="E39" s="149">
        <v>0</v>
      </c>
      <c r="F39" s="149">
        <v>56.6</v>
      </c>
      <c r="G39" s="154">
        <v>42.6</v>
      </c>
      <c r="H39" s="154"/>
      <c r="I39" s="154"/>
      <c r="J39" s="154"/>
      <c r="K39" s="154"/>
      <c r="L39" s="154"/>
      <c r="M39" s="154"/>
      <c r="N39" s="154"/>
      <c r="O39" s="154">
        <v>12</v>
      </c>
      <c r="P39" s="154"/>
      <c r="Q39" s="154"/>
      <c r="R39" s="149">
        <v>0</v>
      </c>
      <c r="S39" s="154">
        <v>2</v>
      </c>
      <c r="T39" s="156"/>
      <c r="U39" s="152"/>
      <c r="V39" s="148"/>
      <c r="W39" s="148"/>
    </row>
    <row r="40" spans="1:23">
      <c r="A40" s="145">
        <v>33</v>
      </c>
      <c r="B40" s="150" t="s">
        <v>442</v>
      </c>
      <c r="C40" s="149">
        <v>469.20000000000005</v>
      </c>
      <c r="D40" s="153">
        <v>347.5</v>
      </c>
      <c r="E40" s="149">
        <v>107.60000000000001</v>
      </c>
      <c r="F40" s="149">
        <v>14.1</v>
      </c>
      <c r="G40" s="154"/>
      <c r="H40" s="154"/>
      <c r="I40" s="154"/>
      <c r="J40" s="154"/>
      <c r="K40" s="154"/>
      <c r="L40" s="154"/>
      <c r="M40" s="154"/>
      <c r="N40" s="154">
        <v>7.8</v>
      </c>
      <c r="O40" s="154"/>
      <c r="P40" s="154"/>
      <c r="Q40" s="154"/>
      <c r="R40" s="149">
        <v>2.9</v>
      </c>
      <c r="S40" s="154">
        <v>3.4</v>
      </c>
      <c r="T40" s="156"/>
      <c r="U40" s="152"/>
      <c r="V40" s="148"/>
      <c r="W40" s="148"/>
    </row>
    <row r="41" spans="1:23" ht="24">
      <c r="A41" s="145">
        <v>34</v>
      </c>
      <c r="B41" s="193" t="s">
        <v>451</v>
      </c>
      <c r="C41" s="157">
        <v>1049.8</v>
      </c>
      <c r="D41" s="157">
        <v>675.2</v>
      </c>
      <c r="E41" s="157">
        <v>196.4</v>
      </c>
      <c r="F41" s="157">
        <v>178.2</v>
      </c>
      <c r="G41" s="157">
        <v>71.5</v>
      </c>
      <c r="H41" s="157">
        <v>0.2</v>
      </c>
      <c r="I41" s="157">
        <v>40.5</v>
      </c>
      <c r="J41" s="157">
        <v>20</v>
      </c>
      <c r="K41" s="157">
        <v>1.4</v>
      </c>
      <c r="L41" s="157">
        <v>0</v>
      </c>
      <c r="M41" s="157">
        <v>0.8</v>
      </c>
      <c r="N41" s="157">
        <v>10.1</v>
      </c>
      <c r="O41" s="157">
        <v>14.1</v>
      </c>
      <c r="P41" s="157">
        <v>0.1</v>
      </c>
      <c r="Q41" s="157">
        <v>5.2</v>
      </c>
      <c r="R41" s="157">
        <v>3.3</v>
      </c>
      <c r="S41" s="157">
        <v>11</v>
      </c>
      <c r="T41" s="158">
        <v>0</v>
      </c>
      <c r="U41" s="157">
        <v>0</v>
      </c>
      <c r="V41" s="148"/>
      <c r="W41" s="148"/>
    </row>
    <row r="42" spans="1:23">
      <c r="A42" s="145">
        <v>35</v>
      </c>
      <c r="B42" s="150" t="s">
        <v>440</v>
      </c>
      <c r="C42" s="149">
        <v>489.4</v>
      </c>
      <c r="D42" s="149">
        <v>324.3</v>
      </c>
      <c r="E42" s="149">
        <v>87.7</v>
      </c>
      <c r="F42" s="149">
        <v>77.399999999999991</v>
      </c>
      <c r="G42" s="149">
        <v>0</v>
      </c>
      <c r="H42" s="149">
        <v>0.2</v>
      </c>
      <c r="I42" s="149">
        <v>40.5</v>
      </c>
      <c r="J42" s="149">
        <v>15.5</v>
      </c>
      <c r="K42" s="149">
        <v>1.4</v>
      </c>
      <c r="L42" s="149">
        <v>0</v>
      </c>
      <c r="M42" s="149">
        <v>0.8</v>
      </c>
      <c r="N42" s="149">
        <v>0.4</v>
      </c>
      <c r="O42" s="149">
        <v>6.1</v>
      </c>
      <c r="P42" s="149">
        <v>0.1</v>
      </c>
      <c r="Q42" s="149">
        <v>5.2</v>
      </c>
      <c r="R42" s="149">
        <v>0.4</v>
      </c>
      <c r="S42" s="149">
        <v>6.8</v>
      </c>
      <c r="T42" s="149">
        <v>0</v>
      </c>
      <c r="U42" s="152"/>
      <c r="V42" s="148"/>
      <c r="W42" s="148"/>
    </row>
    <row r="43" spans="1:23">
      <c r="A43" s="145">
        <v>36</v>
      </c>
      <c r="B43" s="150" t="s">
        <v>441</v>
      </c>
      <c r="C43" s="149">
        <v>84</v>
      </c>
      <c r="D43" s="153"/>
      <c r="E43" s="149">
        <v>0</v>
      </c>
      <c r="F43" s="149">
        <v>84</v>
      </c>
      <c r="G43" s="154">
        <v>71.5</v>
      </c>
      <c r="H43" s="154"/>
      <c r="I43" s="154"/>
      <c r="J43" s="154">
        <v>4.5</v>
      </c>
      <c r="K43" s="154"/>
      <c r="L43" s="154"/>
      <c r="M43" s="154"/>
      <c r="N43" s="154"/>
      <c r="O43" s="154">
        <v>8</v>
      </c>
      <c r="P43" s="154"/>
      <c r="Q43" s="154"/>
      <c r="R43" s="149">
        <v>0</v>
      </c>
      <c r="S43" s="154"/>
      <c r="T43" s="156"/>
      <c r="U43" s="152"/>
      <c r="V43" s="148"/>
      <c r="W43" s="148"/>
    </row>
    <row r="44" spans="1:23">
      <c r="A44" s="145">
        <v>37</v>
      </c>
      <c r="B44" s="150" t="s">
        <v>442</v>
      </c>
      <c r="C44" s="149">
        <v>476.4</v>
      </c>
      <c r="D44" s="153">
        <v>350.9</v>
      </c>
      <c r="E44" s="149">
        <v>108.7</v>
      </c>
      <c r="F44" s="149">
        <v>16.8</v>
      </c>
      <c r="G44" s="154"/>
      <c r="H44" s="154"/>
      <c r="I44" s="154"/>
      <c r="J44" s="154"/>
      <c r="K44" s="154"/>
      <c r="L44" s="154"/>
      <c r="M44" s="154"/>
      <c r="N44" s="154">
        <v>9.6999999999999993</v>
      </c>
      <c r="O44" s="154"/>
      <c r="P44" s="154"/>
      <c r="Q44" s="154"/>
      <c r="R44" s="149">
        <v>2.9</v>
      </c>
      <c r="S44" s="154">
        <v>4.2</v>
      </c>
      <c r="T44" s="156"/>
      <c r="U44" s="152"/>
      <c r="V44" s="148"/>
      <c r="W44" s="148"/>
    </row>
    <row r="45" spans="1:23">
      <c r="A45" s="145">
        <v>38</v>
      </c>
      <c r="B45" s="192" t="s">
        <v>32</v>
      </c>
      <c r="C45" s="157">
        <v>496</v>
      </c>
      <c r="D45" s="157">
        <v>336.4</v>
      </c>
      <c r="E45" s="157">
        <v>95.6</v>
      </c>
      <c r="F45" s="157">
        <v>63.999999999999993</v>
      </c>
      <c r="G45" s="157">
        <v>17.399999999999999</v>
      </c>
      <c r="H45" s="157">
        <v>0.1</v>
      </c>
      <c r="I45" s="157">
        <v>7.5</v>
      </c>
      <c r="J45" s="157">
        <v>9.6</v>
      </c>
      <c r="K45" s="157">
        <v>1.4</v>
      </c>
      <c r="L45" s="157">
        <v>0</v>
      </c>
      <c r="M45" s="157">
        <v>0.4</v>
      </c>
      <c r="N45" s="157">
        <v>4.5</v>
      </c>
      <c r="O45" s="157">
        <v>14.5</v>
      </c>
      <c r="P45" s="157">
        <v>0.1</v>
      </c>
      <c r="Q45" s="157">
        <v>2.2999999999999998</v>
      </c>
      <c r="R45" s="157">
        <v>1.3</v>
      </c>
      <c r="S45" s="157">
        <v>4.9000000000000004</v>
      </c>
      <c r="T45" s="158">
        <v>0</v>
      </c>
      <c r="U45" s="157">
        <v>0</v>
      </c>
      <c r="V45" s="148"/>
      <c r="W45" s="148"/>
    </row>
    <row r="46" spans="1:23">
      <c r="A46" s="145">
        <v>39</v>
      </c>
      <c r="B46" s="150" t="s">
        <v>440</v>
      </c>
      <c r="C46" s="159">
        <v>304.10000000000002</v>
      </c>
      <c r="D46" s="159">
        <v>217.5</v>
      </c>
      <c r="E46" s="159">
        <v>58.8</v>
      </c>
      <c r="F46" s="159">
        <v>27.8</v>
      </c>
      <c r="G46" s="159">
        <v>0</v>
      </c>
      <c r="H46" s="159">
        <v>0.1</v>
      </c>
      <c r="I46" s="159">
        <v>7.5</v>
      </c>
      <c r="J46" s="159">
        <v>9.6</v>
      </c>
      <c r="K46" s="159">
        <v>1.4</v>
      </c>
      <c r="L46" s="159">
        <v>0</v>
      </c>
      <c r="M46" s="159">
        <v>0.4</v>
      </c>
      <c r="N46" s="159">
        <v>0.4</v>
      </c>
      <c r="O46" s="159">
        <v>2.6</v>
      </c>
      <c r="P46" s="159">
        <v>0.1</v>
      </c>
      <c r="Q46" s="159">
        <v>2.2999999999999998</v>
      </c>
      <c r="R46" s="159">
        <v>0.3</v>
      </c>
      <c r="S46" s="159">
        <v>3.1</v>
      </c>
      <c r="T46" s="159">
        <v>0</v>
      </c>
      <c r="U46" s="160"/>
      <c r="V46" s="148"/>
      <c r="W46" s="148"/>
    </row>
    <row r="47" spans="1:23">
      <c r="A47" s="145">
        <v>40</v>
      </c>
      <c r="B47" s="150" t="s">
        <v>441</v>
      </c>
      <c r="C47" s="159">
        <v>29.299999999999997</v>
      </c>
      <c r="D47" s="161"/>
      <c r="E47" s="149">
        <v>0</v>
      </c>
      <c r="F47" s="159">
        <v>29.299999999999997</v>
      </c>
      <c r="G47" s="162">
        <v>17.399999999999999</v>
      </c>
      <c r="H47" s="162"/>
      <c r="I47" s="162"/>
      <c r="J47" s="162"/>
      <c r="K47" s="162"/>
      <c r="L47" s="162"/>
      <c r="M47" s="162"/>
      <c r="N47" s="162"/>
      <c r="O47" s="162">
        <v>11.9</v>
      </c>
      <c r="P47" s="162"/>
      <c r="Q47" s="162"/>
      <c r="R47" s="149">
        <v>0</v>
      </c>
      <c r="S47" s="162"/>
      <c r="T47" s="163"/>
      <c r="U47" s="160"/>
      <c r="V47" s="148"/>
      <c r="W47" s="148"/>
    </row>
    <row r="48" spans="1:23">
      <c r="A48" s="145">
        <v>41</v>
      </c>
      <c r="B48" s="150" t="s">
        <v>442</v>
      </c>
      <c r="C48" s="159">
        <v>162.6</v>
      </c>
      <c r="D48" s="161">
        <v>118.9</v>
      </c>
      <c r="E48" s="149">
        <v>36.799999999999997</v>
      </c>
      <c r="F48" s="159">
        <v>6.8999999999999995</v>
      </c>
      <c r="G48" s="162"/>
      <c r="H48" s="162"/>
      <c r="I48" s="162"/>
      <c r="J48" s="162"/>
      <c r="K48" s="162"/>
      <c r="L48" s="162"/>
      <c r="M48" s="162"/>
      <c r="N48" s="162">
        <v>4.0999999999999996</v>
      </c>
      <c r="O48" s="162"/>
      <c r="P48" s="162"/>
      <c r="Q48" s="162"/>
      <c r="R48" s="149">
        <v>1</v>
      </c>
      <c r="S48" s="162">
        <v>1.7999999999999998</v>
      </c>
      <c r="T48" s="163"/>
      <c r="U48" s="160"/>
      <c r="V48" s="148"/>
      <c r="W48" s="148"/>
    </row>
    <row r="49" spans="1:23">
      <c r="A49" s="145">
        <v>42</v>
      </c>
      <c r="B49" s="192" t="s">
        <v>452</v>
      </c>
      <c r="C49" s="157">
        <v>1322</v>
      </c>
      <c r="D49" s="157">
        <v>840.3</v>
      </c>
      <c r="E49" s="157">
        <v>245.89999999999998</v>
      </c>
      <c r="F49" s="157">
        <v>235.8</v>
      </c>
      <c r="G49" s="157">
        <v>72.400000000000006</v>
      </c>
      <c r="H49" s="157">
        <v>0.3</v>
      </c>
      <c r="I49" s="157">
        <v>60.3</v>
      </c>
      <c r="J49" s="157">
        <v>26.9</v>
      </c>
      <c r="K49" s="157">
        <v>1.4</v>
      </c>
      <c r="L49" s="157">
        <v>0</v>
      </c>
      <c r="M49" s="157">
        <v>3.1</v>
      </c>
      <c r="N49" s="157">
        <v>14.3</v>
      </c>
      <c r="O49" s="157">
        <v>28.9</v>
      </c>
      <c r="P49" s="157">
        <v>0.1</v>
      </c>
      <c r="Q49" s="157">
        <v>7.1</v>
      </c>
      <c r="R49" s="157">
        <v>4.3</v>
      </c>
      <c r="S49" s="157">
        <v>16.7</v>
      </c>
      <c r="T49" s="158">
        <v>0</v>
      </c>
      <c r="U49" s="157">
        <v>0</v>
      </c>
      <c r="V49" s="148"/>
      <c r="W49" s="148"/>
    </row>
    <row r="50" spans="1:23">
      <c r="A50" s="145">
        <v>43</v>
      </c>
      <c r="B50" s="150" t="s">
        <v>440</v>
      </c>
      <c r="C50" s="159">
        <v>579.9</v>
      </c>
      <c r="D50" s="159">
        <v>365.5</v>
      </c>
      <c r="E50" s="159">
        <v>98.8</v>
      </c>
      <c r="F50" s="159">
        <v>115.60000000000001</v>
      </c>
      <c r="G50" s="159">
        <v>0</v>
      </c>
      <c r="H50" s="159">
        <v>0.3</v>
      </c>
      <c r="I50" s="159">
        <v>60.3</v>
      </c>
      <c r="J50" s="159">
        <v>26.9</v>
      </c>
      <c r="K50" s="159">
        <v>1.4</v>
      </c>
      <c r="L50" s="159">
        <v>0</v>
      </c>
      <c r="M50" s="159">
        <v>1.1000000000000001</v>
      </c>
      <c r="N50" s="159">
        <v>0.4</v>
      </c>
      <c r="O50" s="159">
        <v>8.4</v>
      </c>
      <c r="P50" s="159">
        <v>0.1</v>
      </c>
      <c r="Q50" s="159">
        <v>7.1</v>
      </c>
      <c r="R50" s="159">
        <v>0.4</v>
      </c>
      <c r="S50" s="159">
        <v>9.1999999999999993</v>
      </c>
      <c r="T50" s="159">
        <v>0</v>
      </c>
      <c r="U50" s="160"/>
      <c r="V50" s="148"/>
      <c r="W50" s="148"/>
    </row>
    <row r="51" spans="1:23">
      <c r="A51" s="145">
        <v>44</v>
      </c>
      <c r="B51" s="150" t="s">
        <v>441</v>
      </c>
      <c r="C51" s="159">
        <v>97.100000000000009</v>
      </c>
      <c r="D51" s="161"/>
      <c r="E51" s="149">
        <v>0</v>
      </c>
      <c r="F51" s="159">
        <v>97.100000000000009</v>
      </c>
      <c r="G51" s="162">
        <v>72.400000000000006</v>
      </c>
      <c r="H51" s="162"/>
      <c r="I51" s="162"/>
      <c r="J51" s="162"/>
      <c r="K51" s="162"/>
      <c r="L51" s="162"/>
      <c r="M51" s="162">
        <v>2</v>
      </c>
      <c r="N51" s="162">
        <v>0.5</v>
      </c>
      <c r="O51" s="162">
        <v>20.5</v>
      </c>
      <c r="P51" s="162"/>
      <c r="Q51" s="162"/>
      <c r="R51" s="149">
        <v>0</v>
      </c>
      <c r="S51" s="162">
        <v>1.7</v>
      </c>
      <c r="T51" s="163"/>
      <c r="U51" s="160"/>
      <c r="V51" s="148"/>
      <c r="W51" s="148"/>
    </row>
    <row r="52" spans="1:23">
      <c r="A52" s="145">
        <v>45</v>
      </c>
      <c r="B52" s="150" t="s">
        <v>442</v>
      </c>
      <c r="C52" s="159">
        <v>645</v>
      </c>
      <c r="D52" s="161">
        <v>474.8</v>
      </c>
      <c r="E52" s="149">
        <v>147.1</v>
      </c>
      <c r="F52" s="159">
        <v>23.1</v>
      </c>
      <c r="G52" s="162"/>
      <c r="H52" s="162"/>
      <c r="I52" s="162"/>
      <c r="J52" s="162"/>
      <c r="K52" s="162"/>
      <c r="L52" s="162"/>
      <c r="M52" s="162"/>
      <c r="N52" s="162">
        <v>13.4</v>
      </c>
      <c r="O52" s="162"/>
      <c r="P52" s="162"/>
      <c r="Q52" s="162"/>
      <c r="R52" s="149">
        <v>3.9</v>
      </c>
      <c r="S52" s="162">
        <v>5.8</v>
      </c>
      <c r="T52" s="163"/>
      <c r="U52" s="160"/>
      <c r="V52" s="148"/>
      <c r="W52" s="148"/>
    </row>
    <row r="53" spans="1:23">
      <c r="A53" s="145">
        <v>46</v>
      </c>
      <c r="B53" s="194" t="s">
        <v>453</v>
      </c>
      <c r="C53" s="155">
        <v>13457.900000000001</v>
      </c>
      <c r="D53" s="155">
        <v>8384.5</v>
      </c>
      <c r="E53" s="155">
        <v>2420.6999999999998</v>
      </c>
      <c r="F53" s="155">
        <v>2652.7</v>
      </c>
      <c r="G53" s="155">
        <v>997.00000000000011</v>
      </c>
      <c r="H53" s="155">
        <v>2.6</v>
      </c>
      <c r="I53" s="155">
        <v>615.1</v>
      </c>
      <c r="J53" s="155">
        <v>254.4</v>
      </c>
      <c r="K53" s="155">
        <v>25.200000000000003</v>
      </c>
      <c r="L53" s="155">
        <v>0</v>
      </c>
      <c r="M53" s="155">
        <v>13.1</v>
      </c>
      <c r="N53" s="155">
        <v>136.20000000000002</v>
      </c>
      <c r="O53" s="155">
        <v>342.9</v>
      </c>
      <c r="P53" s="155">
        <v>1.7999999999999998</v>
      </c>
      <c r="Q53" s="155">
        <v>70.599999999999994</v>
      </c>
      <c r="R53" s="155">
        <v>37.900000000000006</v>
      </c>
      <c r="S53" s="155">
        <v>155.9</v>
      </c>
      <c r="T53" s="155">
        <v>0</v>
      </c>
      <c r="U53" s="155">
        <v>0</v>
      </c>
      <c r="V53" s="148"/>
      <c r="W53" s="148"/>
    </row>
    <row r="54" spans="1:23">
      <c r="A54" s="145">
        <v>47</v>
      </c>
      <c r="B54" s="195" t="s">
        <v>440</v>
      </c>
      <c r="C54" s="157">
        <v>6852.6</v>
      </c>
      <c r="D54" s="157">
        <v>4478.1000000000004</v>
      </c>
      <c r="E54" s="157">
        <v>1210.7</v>
      </c>
      <c r="F54" s="157">
        <v>1163.8000000000002</v>
      </c>
      <c r="G54" s="157">
        <v>0</v>
      </c>
      <c r="H54" s="157">
        <v>2.6</v>
      </c>
      <c r="I54" s="157">
        <v>615.1</v>
      </c>
      <c r="J54" s="157">
        <v>249.9</v>
      </c>
      <c r="K54" s="157">
        <v>25.200000000000003</v>
      </c>
      <c r="L54" s="157">
        <v>0</v>
      </c>
      <c r="M54" s="157">
        <v>11.1</v>
      </c>
      <c r="N54" s="157">
        <v>4.3999999999999995</v>
      </c>
      <c r="O54" s="157">
        <v>88.59999999999998</v>
      </c>
      <c r="P54" s="157">
        <v>1.7999999999999998</v>
      </c>
      <c r="Q54" s="157">
        <v>70.599999999999994</v>
      </c>
      <c r="R54" s="157">
        <v>5.3000000000000007</v>
      </c>
      <c r="S54" s="157">
        <v>89.2</v>
      </c>
      <c r="T54" s="157">
        <v>0</v>
      </c>
      <c r="U54" s="157">
        <v>0</v>
      </c>
      <c r="V54" s="148"/>
      <c r="W54" s="148"/>
    </row>
    <row r="55" spans="1:23">
      <c r="A55" s="145">
        <v>48</v>
      </c>
      <c r="B55" s="196" t="s">
        <v>445</v>
      </c>
      <c r="C55" s="157">
        <v>1.2000000000000002</v>
      </c>
      <c r="D55" s="157">
        <v>0.9</v>
      </c>
      <c r="E55" s="157">
        <v>0.2</v>
      </c>
      <c r="F55" s="157">
        <v>0.1</v>
      </c>
      <c r="G55" s="157">
        <v>0</v>
      </c>
      <c r="H55" s="157">
        <v>0</v>
      </c>
      <c r="I55" s="157">
        <v>0</v>
      </c>
      <c r="J55" s="157">
        <v>0</v>
      </c>
      <c r="K55" s="157">
        <v>0</v>
      </c>
      <c r="L55" s="157">
        <v>0</v>
      </c>
      <c r="M55" s="157">
        <v>0</v>
      </c>
      <c r="N55" s="157">
        <v>0</v>
      </c>
      <c r="O55" s="157">
        <v>0.1</v>
      </c>
      <c r="P55" s="157">
        <v>0</v>
      </c>
      <c r="Q55" s="157">
        <v>0</v>
      </c>
      <c r="R55" s="157">
        <v>0</v>
      </c>
      <c r="S55" s="157">
        <v>0</v>
      </c>
      <c r="T55" s="157">
        <v>0</v>
      </c>
      <c r="U55" s="157">
        <v>0</v>
      </c>
      <c r="V55" s="148"/>
      <c r="W55" s="148"/>
    </row>
    <row r="56" spans="1:23">
      <c r="A56" s="145">
        <v>49</v>
      </c>
      <c r="B56" s="196" t="s">
        <v>441</v>
      </c>
      <c r="C56" s="157">
        <v>1267.8999999999999</v>
      </c>
      <c r="D56" s="157">
        <v>0</v>
      </c>
      <c r="E56" s="157">
        <v>0</v>
      </c>
      <c r="F56" s="157">
        <v>1267.8999999999999</v>
      </c>
      <c r="G56" s="157">
        <v>997.00000000000011</v>
      </c>
      <c r="H56" s="157">
        <v>0</v>
      </c>
      <c r="I56" s="157">
        <v>0</v>
      </c>
      <c r="J56" s="157">
        <v>4.5</v>
      </c>
      <c r="K56" s="157">
        <v>0</v>
      </c>
      <c r="L56" s="157">
        <v>0</v>
      </c>
      <c r="M56" s="157">
        <v>2</v>
      </c>
      <c r="N56" s="157">
        <v>0.5</v>
      </c>
      <c r="O56" s="157">
        <v>254.2</v>
      </c>
      <c r="P56" s="157">
        <v>0</v>
      </c>
      <c r="Q56" s="157">
        <v>0</v>
      </c>
      <c r="R56" s="157">
        <v>0</v>
      </c>
      <c r="S56" s="157">
        <v>9.6999999999999993</v>
      </c>
      <c r="T56" s="157">
        <v>0</v>
      </c>
      <c r="U56" s="157">
        <v>0</v>
      </c>
      <c r="V56" s="148"/>
      <c r="W56" s="148"/>
    </row>
    <row r="57" spans="1:23">
      <c r="A57" s="145">
        <v>50</v>
      </c>
      <c r="B57" s="196" t="s">
        <v>442</v>
      </c>
      <c r="C57" s="157">
        <v>5336.2000000000007</v>
      </c>
      <c r="D57" s="157">
        <v>3905.5</v>
      </c>
      <c r="E57" s="157">
        <v>1209.8</v>
      </c>
      <c r="F57" s="157">
        <v>220.9</v>
      </c>
      <c r="G57" s="157">
        <v>0</v>
      </c>
      <c r="H57" s="157">
        <v>0</v>
      </c>
      <c r="I57" s="157">
        <v>0</v>
      </c>
      <c r="J57" s="157">
        <v>0</v>
      </c>
      <c r="K57" s="157">
        <v>0</v>
      </c>
      <c r="L57" s="157">
        <v>0</v>
      </c>
      <c r="M57" s="157">
        <v>0</v>
      </c>
      <c r="N57" s="157">
        <v>131.30000000000001</v>
      </c>
      <c r="O57" s="157">
        <v>0</v>
      </c>
      <c r="P57" s="157">
        <v>0</v>
      </c>
      <c r="Q57" s="157">
        <v>0</v>
      </c>
      <c r="R57" s="157">
        <v>32.6</v>
      </c>
      <c r="S57" s="157">
        <v>57.000000000000007</v>
      </c>
      <c r="T57" s="157">
        <v>0</v>
      </c>
      <c r="U57" s="157">
        <v>0</v>
      </c>
      <c r="V57" s="148"/>
      <c r="W57" s="148"/>
    </row>
    <row r="58" spans="1:23">
      <c r="A58" s="145">
        <v>51</v>
      </c>
      <c r="B58" s="192" t="s">
        <v>454</v>
      </c>
      <c r="C58" s="146">
        <v>3919.6000000000004</v>
      </c>
      <c r="D58" s="146">
        <v>2705.2000000000003</v>
      </c>
      <c r="E58" s="146">
        <v>823.4</v>
      </c>
      <c r="F58" s="146">
        <v>391</v>
      </c>
      <c r="G58" s="146">
        <v>0</v>
      </c>
      <c r="H58" s="146">
        <v>1</v>
      </c>
      <c r="I58" s="146">
        <v>96</v>
      </c>
      <c r="J58" s="146">
        <v>54</v>
      </c>
      <c r="K58" s="146">
        <v>5.3</v>
      </c>
      <c r="L58" s="146">
        <v>21</v>
      </c>
      <c r="M58" s="146">
        <v>0</v>
      </c>
      <c r="N58" s="146">
        <v>49.6</v>
      </c>
      <c r="O58" s="146">
        <v>39.299999999999997</v>
      </c>
      <c r="P58" s="146">
        <v>1</v>
      </c>
      <c r="Q58" s="146">
        <v>8.1</v>
      </c>
      <c r="R58" s="146">
        <v>19.5</v>
      </c>
      <c r="S58" s="146">
        <v>91.199999999999989</v>
      </c>
      <c r="T58" s="147">
        <v>5</v>
      </c>
      <c r="U58" s="146">
        <v>0</v>
      </c>
      <c r="V58" s="148"/>
      <c r="W58" s="148"/>
    </row>
    <row r="59" spans="1:23">
      <c r="A59" s="145">
        <v>52</v>
      </c>
      <c r="B59" s="150" t="s">
        <v>440</v>
      </c>
      <c r="C59" s="149">
        <v>712</v>
      </c>
      <c r="D59" s="149">
        <v>373.4</v>
      </c>
      <c r="E59" s="149">
        <v>101</v>
      </c>
      <c r="F59" s="149">
        <v>237.60000000000002</v>
      </c>
      <c r="G59" s="149">
        <v>0</v>
      </c>
      <c r="H59" s="149">
        <v>1</v>
      </c>
      <c r="I59" s="149">
        <v>93.7</v>
      </c>
      <c r="J59" s="149">
        <v>44</v>
      </c>
      <c r="K59" s="149">
        <v>5.3</v>
      </c>
      <c r="L59" s="149">
        <v>4</v>
      </c>
      <c r="M59" s="149">
        <v>0</v>
      </c>
      <c r="N59" s="149">
        <v>0.4</v>
      </c>
      <c r="O59" s="149">
        <v>25.9</v>
      </c>
      <c r="P59" s="149">
        <v>1</v>
      </c>
      <c r="Q59" s="149">
        <v>7.1</v>
      </c>
      <c r="R59" s="149">
        <v>0.4</v>
      </c>
      <c r="S59" s="149">
        <v>54.8</v>
      </c>
      <c r="T59" s="149">
        <v>0</v>
      </c>
      <c r="U59" s="152"/>
      <c r="V59" s="148"/>
      <c r="W59" s="148"/>
    </row>
    <row r="60" spans="1:23">
      <c r="A60" s="145">
        <v>53</v>
      </c>
      <c r="B60" s="150" t="s">
        <v>441</v>
      </c>
      <c r="C60" s="149">
        <v>67.7</v>
      </c>
      <c r="D60" s="153">
        <v>3</v>
      </c>
      <c r="E60" s="149">
        <v>1</v>
      </c>
      <c r="F60" s="149">
        <v>63.7</v>
      </c>
      <c r="G60" s="154"/>
      <c r="H60" s="154"/>
      <c r="I60" s="154">
        <v>2.2999999999999998</v>
      </c>
      <c r="J60" s="154">
        <v>10</v>
      </c>
      <c r="K60" s="154"/>
      <c r="L60" s="154">
        <v>17</v>
      </c>
      <c r="M60" s="154"/>
      <c r="N60" s="154"/>
      <c r="O60" s="154">
        <v>13.4</v>
      </c>
      <c r="P60" s="154"/>
      <c r="Q60" s="154">
        <v>1</v>
      </c>
      <c r="R60" s="149"/>
      <c r="S60" s="154">
        <v>15</v>
      </c>
      <c r="T60" s="156">
        <v>5</v>
      </c>
      <c r="U60" s="152"/>
      <c r="V60" s="148"/>
      <c r="W60" s="148"/>
    </row>
    <row r="61" spans="1:23">
      <c r="A61" s="145">
        <v>54</v>
      </c>
      <c r="B61" s="150" t="s">
        <v>442</v>
      </c>
      <c r="C61" s="149">
        <v>3139.9</v>
      </c>
      <c r="D61" s="153">
        <v>2328.8000000000002</v>
      </c>
      <c r="E61" s="149">
        <v>721.4</v>
      </c>
      <c r="F61" s="149">
        <v>89.700000000000017</v>
      </c>
      <c r="G61" s="154"/>
      <c r="H61" s="154"/>
      <c r="I61" s="154"/>
      <c r="J61" s="154"/>
      <c r="K61" s="154"/>
      <c r="L61" s="154"/>
      <c r="M61" s="154"/>
      <c r="N61" s="154">
        <v>49.2</v>
      </c>
      <c r="O61" s="154"/>
      <c r="P61" s="154"/>
      <c r="Q61" s="154"/>
      <c r="R61" s="149">
        <v>19.100000000000001</v>
      </c>
      <c r="S61" s="154">
        <v>21.4</v>
      </c>
      <c r="T61" s="156"/>
      <c r="U61" s="152"/>
      <c r="V61" s="148"/>
      <c r="W61" s="148"/>
    </row>
    <row r="62" spans="1:23">
      <c r="A62" s="145">
        <v>55</v>
      </c>
      <c r="B62" s="192" t="s">
        <v>36</v>
      </c>
      <c r="C62" s="146">
        <v>2742.7</v>
      </c>
      <c r="D62" s="146">
        <v>1906.2</v>
      </c>
      <c r="E62" s="146">
        <v>581.59999999999991</v>
      </c>
      <c r="F62" s="146">
        <v>254.89999999999998</v>
      </c>
      <c r="G62" s="146">
        <v>0</v>
      </c>
      <c r="H62" s="146">
        <v>0.7</v>
      </c>
      <c r="I62" s="146">
        <v>74.2</v>
      </c>
      <c r="J62" s="146">
        <v>39</v>
      </c>
      <c r="K62" s="146">
        <v>8.3000000000000007</v>
      </c>
      <c r="L62" s="146">
        <v>0</v>
      </c>
      <c r="M62" s="146">
        <v>0</v>
      </c>
      <c r="N62" s="146">
        <v>35.5</v>
      </c>
      <c r="O62" s="146">
        <v>22.4</v>
      </c>
      <c r="P62" s="146">
        <v>1</v>
      </c>
      <c r="Q62" s="146">
        <v>7.4</v>
      </c>
      <c r="R62" s="146">
        <v>13.8</v>
      </c>
      <c r="S62" s="146">
        <v>42.599999999999994</v>
      </c>
      <c r="T62" s="147">
        <v>10</v>
      </c>
      <c r="U62" s="146">
        <v>0</v>
      </c>
      <c r="V62" s="148"/>
      <c r="W62" s="148"/>
    </row>
    <row r="63" spans="1:23">
      <c r="A63" s="145">
        <v>56</v>
      </c>
      <c r="B63" s="150" t="s">
        <v>440</v>
      </c>
      <c r="C63" s="149">
        <v>430.29999999999995</v>
      </c>
      <c r="D63" s="149">
        <v>228.4</v>
      </c>
      <c r="E63" s="149">
        <v>61.8</v>
      </c>
      <c r="F63" s="149">
        <v>140.1</v>
      </c>
      <c r="G63" s="149">
        <v>0</v>
      </c>
      <c r="H63" s="149">
        <v>0.7</v>
      </c>
      <c r="I63" s="149">
        <v>70.5</v>
      </c>
      <c r="J63" s="149">
        <v>18.8</v>
      </c>
      <c r="K63" s="149">
        <v>5.3</v>
      </c>
      <c r="L63" s="149">
        <v>0</v>
      </c>
      <c r="M63" s="149">
        <v>0</v>
      </c>
      <c r="N63" s="149">
        <v>0.4</v>
      </c>
      <c r="O63" s="149">
        <v>18.399999999999999</v>
      </c>
      <c r="P63" s="149">
        <v>1</v>
      </c>
      <c r="Q63" s="149">
        <v>5.2</v>
      </c>
      <c r="R63" s="149">
        <v>0.3</v>
      </c>
      <c r="S63" s="149">
        <v>19.5</v>
      </c>
      <c r="T63" s="149">
        <v>0</v>
      </c>
      <c r="U63" s="152"/>
      <c r="V63" s="148"/>
      <c r="W63" s="148"/>
    </row>
    <row r="64" spans="1:23">
      <c r="A64" s="145">
        <v>57</v>
      </c>
      <c r="B64" s="150" t="s">
        <v>441</v>
      </c>
      <c r="C64" s="149">
        <v>51</v>
      </c>
      <c r="D64" s="153"/>
      <c r="E64" s="149">
        <v>0</v>
      </c>
      <c r="F64" s="149">
        <v>51</v>
      </c>
      <c r="G64" s="154"/>
      <c r="H64" s="154"/>
      <c r="I64" s="154">
        <v>3.7</v>
      </c>
      <c r="J64" s="154">
        <v>20.2</v>
      </c>
      <c r="K64" s="154">
        <v>3</v>
      </c>
      <c r="L64" s="154"/>
      <c r="M64" s="154"/>
      <c r="N64" s="154"/>
      <c r="O64" s="154">
        <v>4</v>
      </c>
      <c r="P64" s="154"/>
      <c r="Q64" s="154">
        <v>2.2000000000000002</v>
      </c>
      <c r="R64" s="149"/>
      <c r="S64" s="154">
        <v>7.9</v>
      </c>
      <c r="T64" s="156">
        <v>10</v>
      </c>
      <c r="U64" s="152"/>
      <c r="V64" s="148"/>
      <c r="W64" s="148"/>
    </row>
    <row r="65" spans="1:23">
      <c r="A65" s="145">
        <v>58</v>
      </c>
      <c r="B65" s="150" t="s">
        <v>442</v>
      </c>
      <c r="C65" s="149">
        <v>2261.4</v>
      </c>
      <c r="D65" s="153">
        <v>1677.8</v>
      </c>
      <c r="E65" s="149">
        <v>519.79999999999995</v>
      </c>
      <c r="F65" s="149">
        <v>63.8</v>
      </c>
      <c r="G65" s="154"/>
      <c r="H65" s="154"/>
      <c r="I65" s="154"/>
      <c r="J65" s="154"/>
      <c r="K65" s="154"/>
      <c r="L65" s="154"/>
      <c r="M65" s="154"/>
      <c r="N65" s="154">
        <v>35.1</v>
      </c>
      <c r="O65" s="154"/>
      <c r="P65" s="154"/>
      <c r="Q65" s="154"/>
      <c r="R65" s="149">
        <v>13.5</v>
      </c>
      <c r="S65" s="154">
        <v>15.2</v>
      </c>
      <c r="T65" s="156"/>
      <c r="U65" s="152"/>
      <c r="V65" s="148"/>
      <c r="W65" s="148"/>
    </row>
    <row r="66" spans="1:23">
      <c r="A66" s="145">
        <v>59</v>
      </c>
      <c r="B66" s="192" t="s">
        <v>289</v>
      </c>
      <c r="C66" s="146">
        <v>2752.5</v>
      </c>
      <c r="D66" s="146">
        <v>1807.8000000000002</v>
      </c>
      <c r="E66" s="146">
        <v>545.29999999999995</v>
      </c>
      <c r="F66" s="146">
        <v>399.4</v>
      </c>
      <c r="G66" s="146">
        <v>0</v>
      </c>
      <c r="H66" s="146">
        <v>0.7</v>
      </c>
      <c r="I66" s="146">
        <v>90.4</v>
      </c>
      <c r="J66" s="146">
        <v>49.5</v>
      </c>
      <c r="K66" s="146">
        <v>4.8</v>
      </c>
      <c r="L66" s="146">
        <v>30</v>
      </c>
      <c r="M66" s="146">
        <v>0</v>
      </c>
      <c r="N66" s="146">
        <v>30.8</v>
      </c>
      <c r="O66" s="146">
        <v>26.200000000000003</v>
      </c>
      <c r="P66" s="146">
        <v>1</v>
      </c>
      <c r="Q66" s="146">
        <v>5.6000000000000005</v>
      </c>
      <c r="R66" s="146">
        <v>11.6</v>
      </c>
      <c r="S66" s="146">
        <v>28.799999999999997</v>
      </c>
      <c r="T66" s="147">
        <v>120</v>
      </c>
      <c r="U66" s="146">
        <v>0</v>
      </c>
      <c r="V66" s="148"/>
      <c r="W66" s="148"/>
    </row>
    <row r="67" spans="1:23">
      <c r="A67" s="145">
        <v>60</v>
      </c>
      <c r="B67" s="150" t="s">
        <v>440</v>
      </c>
      <c r="C67" s="149">
        <v>782.90000000000009</v>
      </c>
      <c r="D67" s="149">
        <v>374.6</v>
      </c>
      <c r="E67" s="149">
        <v>101.3</v>
      </c>
      <c r="F67" s="149">
        <v>307</v>
      </c>
      <c r="G67" s="149">
        <v>0</v>
      </c>
      <c r="H67" s="149">
        <v>0.7</v>
      </c>
      <c r="I67" s="149">
        <v>83.5</v>
      </c>
      <c r="J67" s="149">
        <v>34.200000000000003</v>
      </c>
      <c r="K67" s="149">
        <v>4.8</v>
      </c>
      <c r="L67" s="149">
        <v>26</v>
      </c>
      <c r="M67" s="149">
        <v>0</v>
      </c>
      <c r="N67" s="149">
        <v>0.4</v>
      </c>
      <c r="O67" s="149">
        <v>15.9</v>
      </c>
      <c r="P67" s="149">
        <v>1</v>
      </c>
      <c r="Q67" s="149">
        <v>4.4000000000000004</v>
      </c>
      <c r="R67" s="149">
        <v>0.4</v>
      </c>
      <c r="S67" s="149">
        <v>15.7</v>
      </c>
      <c r="T67" s="149">
        <v>120</v>
      </c>
      <c r="U67" s="152"/>
      <c r="V67" s="148"/>
      <c r="W67" s="148"/>
    </row>
    <row r="68" spans="1:23">
      <c r="A68" s="145">
        <v>61</v>
      </c>
      <c r="B68" s="150" t="s">
        <v>441</v>
      </c>
      <c r="C68" s="149">
        <v>40.500000000000007</v>
      </c>
      <c r="D68" s="153">
        <v>2</v>
      </c>
      <c r="E68" s="149">
        <v>0.6</v>
      </c>
      <c r="F68" s="149">
        <v>37.900000000000006</v>
      </c>
      <c r="G68" s="164"/>
      <c r="H68" s="153"/>
      <c r="I68" s="153">
        <v>6.9</v>
      </c>
      <c r="J68" s="153">
        <v>15.3</v>
      </c>
      <c r="K68" s="153"/>
      <c r="L68" s="153">
        <v>4</v>
      </c>
      <c r="M68" s="153"/>
      <c r="N68" s="153">
        <v>0.2</v>
      </c>
      <c r="O68" s="153">
        <v>10.3</v>
      </c>
      <c r="P68" s="153"/>
      <c r="Q68" s="153">
        <v>1.2</v>
      </c>
      <c r="R68" s="149"/>
      <c r="S68" s="153"/>
      <c r="T68" s="165"/>
      <c r="U68" s="152"/>
      <c r="V68" s="148"/>
      <c r="W68" s="148"/>
    </row>
    <row r="69" spans="1:23">
      <c r="A69" s="145">
        <v>62</v>
      </c>
      <c r="B69" s="150" t="s">
        <v>442</v>
      </c>
      <c r="C69" s="149">
        <v>1929.1</v>
      </c>
      <c r="D69" s="153">
        <v>1431.2</v>
      </c>
      <c r="E69" s="149">
        <v>443.4</v>
      </c>
      <c r="F69" s="149">
        <v>54.5</v>
      </c>
      <c r="G69" s="164"/>
      <c r="H69" s="153"/>
      <c r="I69" s="153"/>
      <c r="J69" s="153"/>
      <c r="K69" s="153"/>
      <c r="L69" s="153"/>
      <c r="M69" s="153"/>
      <c r="N69" s="153">
        <v>30.2</v>
      </c>
      <c r="O69" s="153"/>
      <c r="P69" s="153"/>
      <c r="Q69" s="153"/>
      <c r="R69" s="149">
        <v>11.2</v>
      </c>
      <c r="S69" s="153">
        <v>13.1</v>
      </c>
      <c r="T69" s="165"/>
      <c r="U69" s="152"/>
      <c r="V69" s="148"/>
      <c r="W69" s="148"/>
    </row>
    <row r="70" spans="1:23">
      <c r="A70" s="145">
        <v>63</v>
      </c>
      <c r="B70" s="192" t="s">
        <v>290</v>
      </c>
      <c r="C70" s="146">
        <v>2111.6999999999998</v>
      </c>
      <c r="D70" s="146">
        <v>1449.5</v>
      </c>
      <c r="E70" s="146">
        <v>437.4</v>
      </c>
      <c r="F70" s="146">
        <v>224.79999999999995</v>
      </c>
      <c r="G70" s="146">
        <v>0</v>
      </c>
      <c r="H70" s="146">
        <v>0.5</v>
      </c>
      <c r="I70" s="146">
        <v>75.099999999999994</v>
      </c>
      <c r="J70" s="146">
        <v>30.2</v>
      </c>
      <c r="K70" s="146">
        <v>4.8</v>
      </c>
      <c r="L70" s="146">
        <v>30.1</v>
      </c>
      <c r="M70" s="146">
        <v>0</v>
      </c>
      <c r="N70" s="146">
        <v>25.4</v>
      </c>
      <c r="O70" s="146">
        <v>21.9</v>
      </c>
      <c r="P70" s="146">
        <v>1</v>
      </c>
      <c r="Q70" s="146">
        <v>3.5</v>
      </c>
      <c r="R70" s="146">
        <v>9.4</v>
      </c>
      <c r="S70" s="146">
        <v>22.9</v>
      </c>
      <c r="T70" s="147">
        <v>0</v>
      </c>
      <c r="U70" s="146">
        <v>0</v>
      </c>
      <c r="V70" s="148"/>
      <c r="W70" s="148"/>
    </row>
    <row r="71" spans="1:23">
      <c r="A71" s="145">
        <v>64</v>
      </c>
      <c r="B71" s="150" t="s">
        <v>440</v>
      </c>
      <c r="C71" s="149">
        <v>525</v>
      </c>
      <c r="D71" s="149">
        <v>293.39999999999998</v>
      </c>
      <c r="E71" s="149">
        <v>79.3</v>
      </c>
      <c r="F71" s="149">
        <v>152.29999999999998</v>
      </c>
      <c r="G71" s="149">
        <v>0</v>
      </c>
      <c r="H71" s="149">
        <v>0.5</v>
      </c>
      <c r="I71" s="149">
        <v>65.099999999999994</v>
      </c>
      <c r="J71" s="149">
        <v>24.2</v>
      </c>
      <c r="K71" s="149">
        <v>4.8</v>
      </c>
      <c r="L71" s="149">
        <v>27.1</v>
      </c>
      <c r="M71" s="149">
        <v>0</v>
      </c>
      <c r="N71" s="149">
        <v>0.4</v>
      </c>
      <c r="O71" s="149">
        <v>13.2</v>
      </c>
      <c r="P71" s="149">
        <v>1</v>
      </c>
      <c r="Q71" s="149">
        <v>3.5</v>
      </c>
      <c r="R71" s="149">
        <v>0.4</v>
      </c>
      <c r="S71" s="149">
        <v>12.1</v>
      </c>
      <c r="T71" s="149">
        <v>0</v>
      </c>
      <c r="U71" s="152"/>
      <c r="V71" s="148"/>
      <c r="W71" s="148"/>
    </row>
    <row r="72" spans="1:23">
      <c r="A72" s="145">
        <v>65</v>
      </c>
      <c r="B72" s="150" t="s">
        <v>441</v>
      </c>
      <c r="C72" s="149">
        <v>27.7</v>
      </c>
      <c r="D72" s="153"/>
      <c r="E72" s="149">
        <v>0</v>
      </c>
      <c r="F72" s="149">
        <v>27.7</v>
      </c>
      <c r="G72" s="154"/>
      <c r="H72" s="154"/>
      <c r="I72" s="154">
        <v>10</v>
      </c>
      <c r="J72" s="154">
        <v>6</v>
      </c>
      <c r="K72" s="154"/>
      <c r="L72" s="154">
        <v>3</v>
      </c>
      <c r="M72" s="154"/>
      <c r="N72" s="154"/>
      <c r="O72" s="154">
        <v>8.6999999999999993</v>
      </c>
      <c r="P72" s="154"/>
      <c r="Q72" s="154"/>
      <c r="R72" s="149"/>
      <c r="S72" s="154"/>
      <c r="T72" s="156"/>
      <c r="U72" s="152"/>
      <c r="V72" s="148"/>
      <c r="W72" s="148"/>
    </row>
    <row r="73" spans="1:23">
      <c r="A73" s="145">
        <v>66</v>
      </c>
      <c r="B73" s="150" t="s">
        <v>442</v>
      </c>
      <c r="C73" s="149">
        <v>1558.9999999999998</v>
      </c>
      <c r="D73" s="153">
        <v>1156.0999999999999</v>
      </c>
      <c r="E73" s="149">
        <v>358.09999999999997</v>
      </c>
      <c r="F73" s="149">
        <v>44.8</v>
      </c>
      <c r="G73" s="154"/>
      <c r="H73" s="154"/>
      <c r="I73" s="154"/>
      <c r="J73" s="154"/>
      <c r="K73" s="154"/>
      <c r="L73" s="154"/>
      <c r="M73" s="154"/>
      <c r="N73" s="154">
        <v>25</v>
      </c>
      <c r="O73" s="154"/>
      <c r="P73" s="154"/>
      <c r="Q73" s="154"/>
      <c r="R73" s="149">
        <v>9</v>
      </c>
      <c r="S73" s="154">
        <v>10.8</v>
      </c>
      <c r="T73" s="156"/>
      <c r="U73" s="152"/>
      <c r="V73" s="148"/>
      <c r="W73" s="148"/>
    </row>
    <row r="74" spans="1:23" ht="24">
      <c r="A74" s="145">
        <v>67</v>
      </c>
      <c r="B74" s="193" t="s">
        <v>455</v>
      </c>
      <c r="C74" s="146">
        <v>2901.9</v>
      </c>
      <c r="D74" s="146">
        <v>1978.4</v>
      </c>
      <c r="E74" s="146">
        <v>591.20000000000005</v>
      </c>
      <c r="F74" s="146">
        <v>332.29999999999995</v>
      </c>
      <c r="G74" s="146">
        <v>0</v>
      </c>
      <c r="H74" s="146">
        <v>0.6</v>
      </c>
      <c r="I74" s="146">
        <v>78.400000000000006</v>
      </c>
      <c r="J74" s="146">
        <v>53.6</v>
      </c>
      <c r="K74" s="146">
        <v>5.5</v>
      </c>
      <c r="L74" s="146">
        <v>79.8</v>
      </c>
      <c r="M74" s="146">
        <v>0</v>
      </c>
      <c r="N74" s="146">
        <v>31.400000000000002</v>
      </c>
      <c r="O74" s="146">
        <v>24.2</v>
      </c>
      <c r="P74" s="146">
        <v>1</v>
      </c>
      <c r="Q74" s="146">
        <v>6.3</v>
      </c>
      <c r="R74" s="146">
        <v>12</v>
      </c>
      <c r="S74" s="146">
        <v>37.299999999999997</v>
      </c>
      <c r="T74" s="147">
        <v>2.2000000000000002</v>
      </c>
      <c r="U74" s="146">
        <v>0</v>
      </c>
      <c r="V74" s="148"/>
      <c r="W74" s="148"/>
    </row>
    <row r="75" spans="1:23">
      <c r="A75" s="145">
        <v>68</v>
      </c>
      <c r="B75" s="150" t="s">
        <v>440</v>
      </c>
      <c r="C75" s="149">
        <v>924.2</v>
      </c>
      <c r="D75" s="149">
        <v>550.70000000000005</v>
      </c>
      <c r="E75" s="149">
        <v>148.9</v>
      </c>
      <c r="F75" s="149">
        <v>224.59999999999997</v>
      </c>
      <c r="G75" s="149">
        <v>0</v>
      </c>
      <c r="H75" s="149">
        <v>0.6</v>
      </c>
      <c r="I75" s="149">
        <v>74.400000000000006</v>
      </c>
      <c r="J75" s="149">
        <v>38.6</v>
      </c>
      <c r="K75" s="149">
        <v>5.5</v>
      </c>
      <c r="L75" s="149">
        <v>61.8</v>
      </c>
      <c r="M75" s="149">
        <v>0</v>
      </c>
      <c r="N75" s="149">
        <v>0.6</v>
      </c>
      <c r="O75" s="149">
        <v>16.2</v>
      </c>
      <c r="P75" s="149">
        <v>1</v>
      </c>
      <c r="Q75" s="149">
        <v>4.8</v>
      </c>
      <c r="R75" s="149">
        <v>0.7</v>
      </c>
      <c r="S75" s="149">
        <v>20.399999999999999</v>
      </c>
      <c r="T75" s="149">
        <v>0</v>
      </c>
      <c r="U75" s="152"/>
      <c r="V75" s="148"/>
      <c r="W75" s="148"/>
    </row>
    <row r="76" spans="1:23">
      <c r="A76" s="145">
        <v>69</v>
      </c>
      <c r="B76" s="150" t="s">
        <v>441</v>
      </c>
      <c r="C76" s="149">
        <v>52.2</v>
      </c>
      <c r="D76" s="153"/>
      <c r="E76" s="149">
        <v>0</v>
      </c>
      <c r="F76" s="149">
        <v>52.2</v>
      </c>
      <c r="G76" s="154"/>
      <c r="H76" s="154"/>
      <c r="I76" s="154">
        <v>4</v>
      </c>
      <c r="J76" s="154">
        <v>15</v>
      </c>
      <c r="K76" s="154"/>
      <c r="L76" s="154">
        <v>18</v>
      </c>
      <c r="M76" s="154"/>
      <c r="N76" s="154"/>
      <c r="O76" s="154">
        <v>8</v>
      </c>
      <c r="P76" s="154"/>
      <c r="Q76" s="154">
        <v>1.5</v>
      </c>
      <c r="R76" s="149"/>
      <c r="S76" s="154">
        <v>3.5</v>
      </c>
      <c r="T76" s="156">
        <v>2.2000000000000002</v>
      </c>
      <c r="U76" s="152"/>
      <c r="V76" s="148"/>
      <c r="W76" s="148"/>
    </row>
    <row r="77" spans="1:23">
      <c r="A77" s="145">
        <v>70</v>
      </c>
      <c r="B77" s="150" t="s">
        <v>442</v>
      </c>
      <c r="C77" s="149">
        <v>1925.5</v>
      </c>
      <c r="D77" s="153">
        <v>1427.7</v>
      </c>
      <c r="E77" s="149">
        <v>442.3</v>
      </c>
      <c r="F77" s="149">
        <v>55.5</v>
      </c>
      <c r="G77" s="154"/>
      <c r="H77" s="154"/>
      <c r="I77" s="154"/>
      <c r="J77" s="154"/>
      <c r="K77" s="154"/>
      <c r="L77" s="154"/>
      <c r="M77" s="154"/>
      <c r="N77" s="154">
        <v>30.8</v>
      </c>
      <c r="O77" s="154"/>
      <c r="P77" s="154"/>
      <c r="Q77" s="154"/>
      <c r="R77" s="149">
        <v>11.3</v>
      </c>
      <c r="S77" s="154">
        <v>13.4</v>
      </c>
      <c r="T77" s="156"/>
      <c r="U77" s="152"/>
      <c r="V77" s="148"/>
      <c r="W77" s="148"/>
    </row>
    <row r="78" spans="1:23">
      <c r="A78" s="145">
        <v>71</v>
      </c>
      <c r="B78" s="192" t="s">
        <v>456</v>
      </c>
      <c r="C78" s="146">
        <v>2520</v>
      </c>
      <c r="D78" s="146">
        <v>1700.1999999999998</v>
      </c>
      <c r="E78" s="146">
        <v>515.20000000000005</v>
      </c>
      <c r="F78" s="146">
        <v>304.60000000000002</v>
      </c>
      <c r="G78" s="146">
        <v>0</v>
      </c>
      <c r="H78" s="146">
        <v>0.6</v>
      </c>
      <c r="I78" s="146">
        <v>92.1</v>
      </c>
      <c r="J78" s="146">
        <v>49.5</v>
      </c>
      <c r="K78" s="146">
        <v>4.8</v>
      </c>
      <c r="L78" s="146">
        <v>52.8</v>
      </c>
      <c r="M78" s="146">
        <v>0</v>
      </c>
      <c r="N78" s="146">
        <v>31.4</v>
      </c>
      <c r="O78" s="146">
        <v>22.700000000000003</v>
      </c>
      <c r="P78" s="146">
        <v>1</v>
      </c>
      <c r="Q78" s="146">
        <v>5.5</v>
      </c>
      <c r="R78" s="146">
        <v>11.5</v>
      </c>
      <c r="S78" s="146">
        <v>32.700000000000003</v>
      </c>
      <c r="T78" s="147">
        <v>0</v>
      </c>
      <c r="U78" s="146">
        <v>0</v>
      </c>
      <c r="V78" s="148"/>
      <c r="W78" s="148"/>
    </row>
    <row r="79" spans="1:23">
      <c r="A79" s="145">
        <v>72</v>
      </c>
      <c r="B79" s="150" t="s">
        <v>440</v>
      </c>
      <c r="C79" s="149">
        <v>586.79999999999995</v>
      </c>
      <c r="D79" s="149">
        <v>293.89999999999998</v>
      </c>
      <c r="E79" s="149">
        <v>79.5</v>
      </c>
      <c r="F79" s="149">
        <v>213.40000000000003</v>
      </c>
      <c r="G79" s="149">
        <v>0</v>
      </c>
      <c r="H79" s="149">
        <v>0.6</v>
      </c>
      <c r="I79" s="149">
        <v>86</v>
      </c>
      <c r="J79" s="149">
        <v>38.5</v>
      </c>
      <c r="K79" s="149">
        <v>4.8</v>
      </c>
      <c r="L79" s="149">
        <v>46</v>
      </c>
      <c r="M79" s="149">
        <v>0</v>
      </c>
      <c r="N79" s="149">
        <v>0.4</v>
      </c>
      <c r="O79" s="149">
        <v>16.3</v>
      </c>
      <c r="P79" s="149">
        <v>1</v>
      </c>
      <c r="Q79" s="149">
        <v>4.3</v>
      </c>
      <c r="R79" s="149">
        <v>0.4</v>
      </c>
      <c r="S79" s="149">
        <v>15.1</v>
      </c>
      <c r="T79" s="149">
        <v>0</v>
      </c>
      <c r="U79" s="152"/>
      <c r="V79" s="148"/>
      <c r="W79" s="148"/>
    </row>
    <row r="80" spans="1:23">
      <c r="A80" s="145">
        <v>73</v>
      </c>
      <c r="B80" s="150" t="s">
        <v>441</v>
      </c>
      <c r="C80" s="149">
        <v>35.6</v>
      </c>
      <c r="D80" s="153"/>
      <c r="E80" s="149">
        <v>0</v>
      </c>
      <c r="F80" s="149">
        <v>35.6</v>
      </c>
      <c r="G80" s="154"/>
      <c r="H80" s="154"/>
      <c r="I80" s="154">
        <v>6.1</v>
      </c>
      <c r="J80" s="154">
        <v>11</v>
      </c>
      <c r="K80" s="154"/>
      <c r="L80" s="154">
        <v>6.8</v>
      </c>
      <c r="M80" s="154"/>
      <c r="N80" s="154"/>
      <c r="O80" s="154">
        <v>6.4</v>
      </c>
      <c r="P80" s="154"/>
      <c r="Q80" s="154">
        <v>1.2</v>
      </c>
      <c r="R80" s="149"/>
      <c r="S80" s="154">
        <v>4.0999999999999996</v>
      </c>
      <c r="T80" s="156"/>
      <c r="U80" s="152"/>
      <c r="V80" s="148"/>
      <c r="W80" s="148"/>
    </row>
    <row r="81" spans="1:23">
      <c r="A81" s="145">
        <v>74</v>
      </c>
      <c r="B81" s="150" t="s">
        <v>442</v>
      </c>
      <c r="C81" s="149">
        <v>1897.6</v>
      </c>
      <c r="D81" s="153">
        <v>1406.3</v>
      </c>
      <c r="E81" s="149">
        <v>435.7</v>
      </c>
      <c r="F81" s="149">
        <v>55.6</v>
      </c>
      <c r="G81" s="154"/>
      <c r="H81" s="154"/>
      <c r="I81" s="154"/>
      <c r="J81" s="154"/>
      <c r="K81" s="154"/>
      <c r="L81" s="154"/>
      <c r="M81" s="154"/>
      <c r="N81" s="154">
        <v>31</v>
      </c>
      <c r="O81" s="154"/>
      <c r="P81" s="154"/>
      <c r="Q81" s="154"/>
      <c r="R81" s="149">
        <v>11.1</v>
      </c>
      <c r="S81" s="154">
        <v>13.5</v>
      </c>
      <c r="T81" s="156"/>
      <c r="U81" s="152"/>
      <c r="V81" s="148"/>
      <c r="W81" s="148"/>
    </row>
    <row r="82" spans="1:23" ht="24">
      <c r="A82" s="145">
        <v>75</v>
      </c>
      <c r="B82" s="193" t="s">
        <v>457</v>
      </c>
      <c r="C82" s="146">
        <v>3692.1000000000004</v>
      </c>
      <c r="D82" s="146">
        <v>2382.3000000000002</v>
      </c>
      <c r="E82" s="146">
        <v>719.2</v>
      </c>
      <c r="F82" s="146">
        <v>590.60000000000014</v>
      </c>
      <c r="G82" s="146">
        <v>0</v>
      </c>
      <c r="H82" s="146">
        <v>1</v>
      </c>
      <c r="I82" s="146">
        <v>224.1</v>
      </c>
      <c r="J82" s="146">
        <v>148.5</v>
      </c>
      <c r="K82" s="146">
        <v>5.0999999999999996</v>
      </c>
      <c r="L82" s="146">
        <v>9.1</v>
      </c>
      <c r="M82" s="146">
        <v>0</v>
      </c>
      <c r="N82" s="146">
        <v>48.1</v>
      </c>
      <c r="O82" s="146">
        <v>45.1</v>
      </c>
      <c r="P82" s="146">
        <v>1</v>
      </c>
      <c r="Q82" s="146">
        <v>23</v>
      </c>
      <c r="R82" s="146">
        <v>15.7</v>
      </c>
      <c r="S82" s="146">
        <v>69.899999999999991</v>
      </c>
      <c r="T82" s="147">
        <v>0</v>
      </c>
      <c r="U82" s="146">
        <v>0</v>
      </c>
      <c r="V82" s="148"/>
      <c r="W82" s="148"/>
    </row>
    <row r="83" spans="1:23">
      <c r="A83" s="145">
        <v>76</v>
      </c>
      <c r="B83" s="150" t="s">
        <v>440</v>
      </c>
      <c r="C83" s="149">
        <v>1029.1000000000001</v>
      </c>
      <c r="D83" s="149">
        <v>477.4</v>
      </c>
      <c r="E83" s="149">
        <v>129</v>
      </c>
      <c r="F83" s="149">
        <v>422.7000000000001</v>
      </c>
      <c r="G83" s="149">
        <v>0</v>
      </c>
      <c r="H83" s="149">
        <v>1</v>
      </c>
      <c r="I83" s="149">
        <v>196.6</v>
      </c>
      <c r="J83" s="149">
        <v>128.9</v>
      </c>
      <c r="K83" s="149">
        <v>5.0999999999999996</v>
      </c>
      <c r="L83" s="149">
        <v>4</v>
      </c>
      <c r="M83" s="149">
        <v>0</v>
      </c>
      <c r="N83" s="149">
        <v>0.5</v>
      </c>
      <c r="O83" s="149">
        <v>25.1</v>
      </c>
      <c r="P83" s="149">
        <v>1</v>
      </c>
      <c r="Q83" s="149">
        <v>20.100000000000001</v>
      </c>
      <c r="R83" s="149">
        <v>0.6</v>
      </c>
      <c r="S83" s="149">
        <v>39.799999999999997</v>
      </c>
      <c r="T83" s="156"/>
      <c r="U83" s="152"/>
      <c r="V83" s="148"/>
      <c r="W83" s="148"/>
    </row>
    <row r="84" spans="1:23">
      <c r="A84" s="145">
        <v>77</v>
      </c>
      <c r="B84" s="150" t="s">
        <v>441</v>
      </c>
      <c r="C84" s="149">
        <v>84.500000000000014</v>
      </c>
      <c r="D84" s="153"/>
      <c r="E84" s="149">
        <v>0</v>
      </c>
      <c r="F84" s="149">
        <v>84.500000000000014</v>
      </c>
      <c r="G84" s="154"/>
      <c r="H84" s="154"/>
      <c r="I84" s="154">
        <v>27.5</v>
      </c>
      <c r="J84" s="154">
        <v>19.600000000000001</v>
      </c>
      <c r="K84" s="154"/>
      <c r="L84" s="154">
        <v>5.0999999999999996</v>
      </c>
      <c r="M84" s="154"/>
      <c r="N84" s="154"/>
      <c r="O84" s="154">
        <v>20</v>
      </c>
      <c r="P84" s="154"/>
      <c r="Q84" s="154">
        <v>2.9</v>
      </c>
      <c r="R84" s="149"/>
      <c r="S84" s="154">
        <v>9.4</v>
      </c>
      <c r="T84" s="156"/>
      <c r="U84" s="152"/>
      <c r="V84" s="148"/>
      <c r="W84" s="148"/>
    </row>
    <row r="85" spans="1:23">
      <c r="A85" s="145">
        <v>78</v>
      </c>
      <c r="B85" s="150" t="s">
        <v>442</v>
      </c>
      <c r="C85" s="149">
        <v>2578.5000000000005</v>
      </c>
      <c r="D85" s="153">
        <v>1904.9</v>
      </c>
      <c r="E85" s="149">
        <v>590.20000000000005</v>
      </c>
      <c r="F85" s="149">
        <v>83.4</v>
      </c>
      <c r="G85" s="154"/>
      <c r="H85" s="154"/>
      <c r="I85" s="154"/>
      <c r="J85" s="154"/>
      <c r="K85" s="154"/>
      <c r="L85" s="154"/>
      <c r="M85" s="154"/>
      <c r="N85" s="154">
        <v>47.6</v>
      </c>
      <c r="O85" s="154"/>
      <c r="P85" s="154"/>
      <c r="Q85" s="154"/>
      <c r="R85" s="149">
        <v>15.1</v>
      </c>
      <c r="S85" s="154">
        <v>20.7</v>
      </c>
      <c r="T85" s="156"/>
      <c r="U85" s="152"/>
      <c r="V85" s="148"/>
      <c r="W85" s="148"/>
    </row>
    <row r="86" spans="1:23">
      <c r="A86" s="145">
        <v>79</v>
      </c>
      <c r="B86" s="192" t="s">
        <v>458</v>
      </c>
      <c r="C86" s="146">
        <v>4049.3999999999996</v>
      </c>
      <c r="D86" s="146">
        <v>2766.3</v>
      </c>
      <c r="E86" s="146">
        <v>843.4</v>
      </c>
      <c r="F86" s="146">
        <v>439.70000000000005</v>
      </c>
      <c r="G86" s="146">
        <v>0</v>
      </c>
      <c r="H86" s="146">
        <v>1.3</v>
      </c>
      <c r="I86" s="146">
        <v>104.6</v>
      </c>
      <c r="J86" s="146">
        <v>63.3</v>
      </c>
      <c r="K86" s="146">
        <v>4.4000000000000004</v>
      </c>
      <c r="L86" s="146">
        <v>0</v>
      </c>
      <c r="M86" s="146">
        <v>0</v>
      </c>
      <c r="N86" s="146">
        <v>64</v>
      </c>
      <c r="O86" s="146">
        <v>50.099999999999994</v>
      </c>
      <c r="P86" s="146">
        <v>1</v>
      </c>
      <c r="Q86" s="146">
        <v>14.9</v>
      </c>
      <c r="R86" s="146">
        <v>20.299999999999997</v>
      </c>
      <c r="S86" s="146">
        <v>56.800000000000004</v>
      </c>
      <c r="T86" s="147">
        <v>59</v>
      </c>
      <c r="U86" s="146">
        <v>0</v>
      </c>
      <c r="V86" s="148"/>
      <c r="W86" s="148"/>
    </row>
    <row r="87" spans="1:23">
      <c r="A87" s="145">
        <v>80</v>
      </c>
      <c r="B87" s="150" t="s">
        <v>440</v>
      </c>
      <c r="C87" s="149">
        <v>717.6</v>
      </c>
      <c r="D87" s="149">
        <v>344.4</v>
      </c>
      <c r="E87" s="149">
        <v>93.1</v>
      </c>
      <c r="F87" s="149">
        <v>280.10000000000002</v>
      </c>
      <c r="G87" s="149">
        <v>0</v>
      </c>
      <c r="H87" s="149">
        <v>1.3</v>
      </c>
      <c r="I87" s="149">
        <v>104.6</v>
      </c>
      <c r="J87" s="149">
        <v>48</v>
      </c>
      <c r="K87" s="149">
        <v>4.4000000000000004</v>
      </c>
      <c r="L87" s="149">
        <v>0</v>
      </c>
      <c r="M87" s="149">
        <v>0</v>
      </c>
      <c r="N87" s="149">
        <v>0.4</v>
      </c>
      <c r="O87" s="149">
        <v>33.4</v>
      </c>
      <c r="P87" s="149">
        <v>1</v>
      </c>
      <c r="Q87" s="149">
        <v>8.9</v>
      </c>
      <c r="R87" s="149">
        <v>0.4</v>
      </c>
      <c r="S87" s="149">
        <v>27.700000000000003</v>
      </c>
      <c r="T87" s="149">
        <v>50</v>
      </c>
      <c r="U87" s="152"/>
      <c r="V87" s="148"/>
      <c r="W87" s="148"/>
    </row>
    <row r="88" spans="1:23">
      <c r="A88" s="145">
        <v>81</v>
      </c>
      <c r="B88" s="150" t="s">
        <v>441</v>
      </c>
      <c r="C88" s="149">
        <v>48.5</v>
      </c>
      <c r="D88" s="153"/>
      <c r="E88" s="149">
        <v>0</v>
      </c>
      <c r="F88" s="149">
        <v>48.5</v>
      </c>
      <c r="G88" s="154"/>
      <c r="H88" s="154"/>
      <c r="I88" s="154"/>
      <c r="J88" s="154">
        <v>15.3</v>
      </c>
      <c r="K88" s="154"/>
      <c r="L88" s="154"/>
      <c r="M88" s="154"/>
      <c r="N88" s="154"/>
      <c r="O88" s="154">
        <v>16.7</v>
      </c>
      <c r="P88" s="154"/>
      <c r="Q88" s="154">
        <v>6</v>
      </c>
      <c r="R88" s="149"/>
      <c r="S88" s="154">
        <v>10.5</v>
      </c>
      <c r="T88" s="156"/>
      <c r="U88" s="152"/>
      <c r="V88" s="148"/>
      <c r="W88" s="148"/>
    </row>
    <row r="89" spans="1:23">
      <c r="A89" s="145">
        <v>82</v>
      </c>
      <c r="B89" s="150" t="s">
        <v>442</v>
      </c>
      <c r="C89" s="149">
        <v>3283.2999999999997</v>
      </c>
      <c r="D89" s="153">
        <v>2421.9</v>
      </c>
      <c r="E89" s="149">
        <v>750.3</v>
      </c>
      <c r="F89" s="149">
        <v>111.1</v>
      </c>
      <c r="G89" s="154"/>
      <c r="H89" s="154"/>
      <c r="I89" s="154"/>
      <c r="J89" s="154"/>
      <c r="K89" s="154"/>
      <c r="L89" s="154"/>
      <c r="M89" s="154"/>
      <c r="N89" s="154">
        <v>63.6</v>
      </c>
      <c r="O89" s="154"/>
      <c r="P89" s="154"/>
      <c r="Q89" s="154"/>
      <c r="R89" s="149">
        <v>19.899999999999999</v>
      </c>
      <c r="S89" s="154">
        <v>18.600000000000001</v>
      </c>
      <c r="T89" s="156">
        <v>9</v>
      </c>
      <c r="U89" s="152"/>
      <c r="V89" s="148"/>
      <c r="W89" s="148"/>
    </row>
    <row r="90" spans="1:23" ht="24">
      <c r="A90" s="145">
        <v>83</v>
      </c>
      <c r="B90" s="193" t="s">
        <v>43</v>
      </c>
      <c r="C90" s="146">
        <v>4166.2999999999993</v>
      </c>
      <c r="D90" s="146">
        <v>2805.2</v>
      </c>
      <c r="E90" s="146">
        <v>846.2</v>
      </c>
      <c r="F90" s="146">
        <v>514.9</v>
      </c>
      <c r="G90" s="146">
        <v>12</v>
      </c>
      <c r="H90" s="146">
        <v>1.1000000000000001</v>
      </c>
      <c r="I90" s="146">
        <v>217.20000000000002</v>
      </c>
      <c r="J90" s="146">
        <v>87.6</v>
      </c>
      <c r="K90" s="146">
        <v>10.1</v>
      </c>
      <c r="L90" s="146">
        <v>0</v>
      </c>
      <c r="M90" s="146">
        <v>0</v>
      </c>
      <c r="N90" s="146">
        <v>50.6</v>
      </c>
      <c r="O90" s="146">
        <v>41.4</v>
      </c>
      <c r="P90" s="146">
        <v>1</v>
      </c>
      <c r="Q90" s="146">
        <v>7.6</v>
      </c>
      <c r="R90" s="146">
        <v>17.599999999999998</v>
      </c>
      <c r="S90" s="146">
        <v>50.400000000000006</v>
      </c>
      <c r="T90" s="147">
        <v>18.3</v>
      </c>
      <c r="U90" s="146">
        <v>0</v>
      </c>
      <c r="V90" s="148"/>
      <c r="W90" s="148"/>
    </row>
    <row r="91" spans="1:23">
      <c r="A91" s="145">
        <v>84</v>
      </c>
      <c r="B91" s="150" t="s">
        <v>440</v>
      </c>
      <c r="C91" s="149">
        <v>1056.0999999999999</v>
      </c>
      <c r="D91" s="149">
        <v>579</v>
      </c>
      <c r="E91" s="149">
        <v>156.5</v>
      </c>
      <c r="F91" s="149">
        <v>320.59999999999997</v>
      </c>
      <c r="G91" s="149">
        <v>0</v>
      </c>
      <c r="H91" s="149">
        <v>1.1000000000000001</v>
      </c>
      <c r="I91" s="149">
        <v>192.9</v>
      </c>
      <c r="J91" s="149">
        <v>56.6</v>
      </c>
      <c r="K91" s="149">
        <v>5.0999999999999996</v>
      </c>
      <c r="L91" s="149">
        <v>0</v>
      </c>
      <c r="M91" s="149">
        <v>0</v>
      </c>
      <c r="N91" s="149">
        <v>0.5</v>
      </c>
      <c r="O91" s="149">
        <v>26.4</v>
      </c>
      <c r="P91" s="149">
        <v>1</v>
      </c>
      <c r="Q91" s="149">
        <v>7.6</v>
      </c>
      <c r="R91" s="149">
        <v>0.7</v>
      </c>
      <c r="S91" s="149">
        <v>28.700000000000003</v>
      </c>
      <c r="T91" s="149">
        <v>0</v>
      </c>
      <c r="U91" s="152"/>
      <c r="V91" s="148"/>
      <c r="W91" s="148"/>
    </row>
    <row r="92" spans="1:23">
      <c r="A92" s="145">
        <v>85</v>
      </c>
      <c r="B92" s="150" t="s">
        <v>441</v>
      </c>
      <c r="C92" s="149">
        <v>105.6</v>
      </c>
      <c r="D92" s="153"/>
      <c r="E92" s="149">
        <v>0</v>
      </c>
      <c r="F92" s="149">
        <v>105.6</v>
      </c>
      <c r="G92" s="154">
        <v>12</v>
      </c>
      <c r="H92" s="154"/>
      <c r="I92" s="154">
        <v>24.3</v>
      </c>
      <c r="J92" s="154">
        <v>31</v>
      </c>
      <c r="K92" s="154">
        <v>5</v>
      </c>
      <c r="L92" s="154"/>
      <c r="M92" s="154"/>
      <c r="N92" s="154"/>
      <c r="O92" s="154">
        <v>15</v>
      </c>
      <c r="P92" s="154"/>
      <c r="Q92" s="154"/>
      <c r="R92" s="149"/>
      <c r="S92" s="154"/>
      <c r="T92" s="156">
        <v>18.3</v>
      </c>
      <c r="U92" s="152"/>
      <c r="V92" s="148"/>
      <c r="W92" s="148"/>
    </row>
    <row r="93" spans="1:23">
      <c r="A93" s="145">
        <v>86</v>
      </c>
      <c r="B93" s="150" t="s">
        <v>442</v>
      </c>
      <c r="C93" s="149">
        <v>3004.5999999999995</v>
      </c>
      <c r="D93" s="153">
        <v>2226.1999999999998</v>
      </c>
      <c r="E93" s="149">
        <v>689.7</v>
      </c>
      <c r="F93" s="149">
        <v>88.7</v>
      </c>
      <c r="G93" s="154"/>
      <c r="H93" s="154"/>
      <c r="I93" s="154"/>
      <c r="J93" s="154"/>
      <c r="K93" s="154"/>
      <c r="L93" s="154"/>
      <c r="M93" s="154"/>
      <c r="N93" s="154">
        <v>50.1</v>
      </c>
      <c r="O93" s="154"/>
      <c r="P93" s="154"/>
      <c r="Q93" s="154"/>
      <c r="R93" s="149">
        <v>16.899999999999999</v>
      </c>
      <c r="S93" s="154">
        <v>21.7</v>
      </c>
      <c r="T93" s="156"/>
      <c r="U93" s="152"/>
      <c r="V93" s="148"/>
      <c r="W93" s="148"/>
    </row>
    <row r="94" spans="1:23" ht="24">
      <c r="A94" s="145">
        <v>87</v>
      </c>
      <c r="B94" s="193" t="s">
        <v>44</v>
      </c>
      <c r="C94" s="146">
        <v>1612</v>
      </c>
      <c r="D94" s="146">
        <v>953.19999999999993</v>
      </c>
      <c r="E94" s="146">
        <v>287.2</v>
      </c>
      <c r="F94" s="146">
        <v>371.6</v>
      </c>
      <c r="G94" s="146">
        <v>0</v>
      </c>
      <c r="H94" s="146">
        <v>0.3</v>
      </c>
      <c r="I94" s="146">
        <v>163.19999999999999</v>
      </c>
      <c r="J94" s="146">
        <v>57</v>
      </c>
      <c r="K94" s="146">
        <v>4.8</v>
      </c>
      <c r="L94" s="146">
        <v>0</v>
      </c>
      <c r="M94" s="146">
        <v>0</v>
      </c>
      <c r="N94" s="146">
        <v>17.399999999999999</v>
      </c>
      <c r="O94" s="146">
        <v>15</v>
      </c>
      <c r="P94" s="146">
        <v>1</v>
      </c>
      <c r="Q94" s="146">
        <v>7.4</v>
      </c>
      <c r="R94" s="146">
        <v>5.9</v>
      </c>
      <c r="S94" s="146">
        <v>99.600000000000009</v>
      </c>
      <c r="T94" s="147">
        <v>0</v>
      </c>
      <c r="U94" s="152"/>
      <c r="V94" s="148"/>
      <c r="W94" s="148"/>
    </row>
    <row r="95" spans="1:23">
      <c r="A95" s="145">
        <v>88</v>
      </c>
      <c r="B95" s="150" t="s">
        <v>440</v>
      </c>
      <c r="C95" s="149">
        <v>536</v>
      </c>
      <c r="D95" s="149">
        <v>205.4</v>
      </c>
      <c r="E95" s="149">
        <v>55.5</v>
      </c>
      <c r="F95" s="149">
        <v>275.10000000000002</v>
      </c>
      <c r="G95" s="149">
        <v>0</v>
      </c>
      <c r="H95" s="149">
        <v>0.3</v>
      </c>
      <c r="I95" s="149">
        <v>135.19999999999999</v>
      </c>
      <c r="J95" s="149">
        <v>35</v>
      </c>
      <c r="K95" s="149">
        <v>4.8</v>
      </c>
      <c r="L95" s="149">
        <v>0</v>
      </c>
      <c r="M95" s="149">
        <v>0</v>
      </c>
      <c r="N95" s="149">
        <v>0.4</v>
      </c>
      <c r="O95" s="149">
        <v>9</v>
      </c>
      <c r="P95" s="149">
        <v>1</v>
      </c>
      <c r="Q95" s="149">
        <v>2.4</v>
      </c>
      <c r="R95" s="149">
        <v>0.2</v>
      </c>
      <c r="S95" s="149">
        <v>86.8</v>
      </c>
      <c r="T95" s="149">
        <v>0</v>
      </c>
      <c r="U95" s="152"/>
      <c r="V95" s="148"/>
      <c r="W95" s="148"/>
    </row>
    <row r="96" spans="1:23">
      <c r="A96" s="145">
        <v>89</v>
      </c>
      <c r="B96" s="150" t="s">
        <v>441</v>
      </c>
      <c r="C96" s="149">
        <v>66.400000000000006</v>
      </c>
      <c r="D96" s="153"/>
      <c r="E96" s="149">
        <v>0</v>
      </c>
      <c r="F96" s="149">
        <v>66.400000000000006</v>
      </c>
      <c r="G96" s="154"/>
      <c r="H96" s="154"/>
      <c r="I96" s="154">
        <v>28</v>
      </c>
      <c r="J96" s="154">
        <v>22</v>
      </c>
      <c r="K96" s="154"/>
      <c r="L96" s="154"/>
      <c r="M96" s="154"/>
      <c r="N96" s="154"/>
      <c r="O96" s="154">
        <v>6</v>
      </c>
      <c r="P96" s="154"/>
      <c r="Q96" s="154">
        <v>5</v>
      </c>
      <c r="R96" s="149"/>
      <c r="S96" s="154">
        <v>5.4</v>
      </c>
      <c r="T96" s="156"/>
      <c r="U96" s="152"/>
      <c r="V96" s="148"/>
      <c r="W96" s="148"/>
    </row>
    <row r="97" spans="1:23">
      <c r="A97" s="145">
        <v>90</v>
      </c>
      <c r="B97" s="150" t="s">
        <v>442</v>
      </c>
      <c r="C97" s="149">
        <v>1009.6</v>
      </c>
      <c r="D97" s="153">
        <v>747.8</v>
      </c>
      <c r="E97" s="149">
        <v>231.7</v>
      </c>
      <c r="F97" s="149">
        <v>30.1</v>
      </c>
      <c r="G97" s="154"/>
      <c r="H97" s="154"/>
      <c r="I97" s="154"/>
      <c r="J97" s="154"/>
      <c r="K97" s="154"/>
      <c r="L97" s="154"/>
      <c r="M97" s="154"/>
      <c r="N97" s="154">
        <v>17</v>
      </c>
      <c r="O97" s="154"/>
      <c r="P97" s="154"/>
      <c r="Q97" s="154"/>
      <c r="R97" s="149">
        <v>5.7</v>
      </c>
      <c r="S97" s="154">
        <v>7.4</v>
      </c>
      <c r="T97" s="156"/>
      <c r="U97" s="152"/>
      <c r="V97" s="148"/>
      <c r="W97" s="148"/>
    </row>
    <row r="98" spans="1:23">
      <c r="A98" s="145">
        <v>91</v>
      </c>
      <c r="B98" s="192" t="s">
        <v>45</v>
      </c>
      <c r="C98" s="146">
        <v>1209.5</v>
      </c>
      <c r="D98" s="146">
        <v>844.5</v>
      </c>
      <c r="E98" s="146">
        <v>252.70000000000002</v>
      </c>
      <c r="F98" s="146">
        <v>112.3</v>
      </c>
      <c r="G98" s="146">
        <v>0</v>
      </c>
      <c r="H98" s="146">
        <v>0.2</v>
      </c>
      <c r="I98" s="146">
        <v>36.200000000000003</v>
      </c>
      <c r="J98" s="146">
        <v>22.3</v>
      </c>
      <c r="K98" s="146">
        <v>1.8</v>
      </c>
      <c r="L98" s="146">
        <v>14.9</v>
      </c>
      <c r="M98" s="146">
        <v>0</v>
      </c>
      <c r="N98" s="146">
        <v>10.3</v>
      </c>
      <c r="O98" s="146">
        <v>8.1999999999999993</v>
      </c>
      <c r="P98" s="146">
        <v>0.3</v>
      </c>
      <c r="Q98" s="146">
        <v>2.4000000000000004</v>
      </c>
      <c r="R98" s="146">
        <v>5.3999999999999995</v>
      </c>
      <c r="S98" s="146">
        <v>7.3</v>
      </c>
      <c r="T98" s="147">
        <v>3</v>
      </c>
      <c r="U98" s="146">
        <v>0</v>
      </c>
      <c r="V98" s="148"/>
      <c r="W98" s="148"/>
    </row>
    <row r="99" spans="1:23">
      <c r="A99" s="145">
        <v>92</v>
      </c>
      <c r="B99" s="150" t="s">
        <v>440</v>
      </c>
      <c r="C99" s="149">
        <v>372</v>
      </c>
      <c r="D99" s="149">
        <v>227.1</v>
      </c>
      <c r="E99" s="149">
        <v>61.4</v>
      </c>
      <c r="F99" s="149">
        <v>83.5</v>
      </c>
      <c r="G99" s="149">
        <v>0</v>
      </c>
      <c r="H99" s="149">
        <v>0.2</v>
      </c>
      <c r="I99" s="149">
        <v>34.200000000000003</v>
      </c>
      <c r="J99" s="149">
        <v>18.600000000000001</v>
      </c>
      <c r="K99" s="149">
        <v>1.8</v>
      </c>
      <c r="L99" s="149">
        <v>14.9</v>
      </c>
      <c r="M99" s="149">
        <v>0</v>
      </c>
      <c r="N99" s="149">
        <v>0.4</v>
      </c>
      <c r="O99" s="149">
        <v>5.2</v>
      </c>
      <c r="P99" s="149">
        <v>0.3</v>
      </c>
      <c r="Q99" s="149">
        <v>1.6</v>
      </c>
      <c r="R99" s="149">
        <v>0.3</v>
      </c>
      <c r="S99" s="149">
        <v>6</v>
      </c>
      <c r="T99" s="149">
        <v>0</v>
      </c>
      <c r="U99" s="152"/>
      <c r="V99" s="148"/>
      <c r="W99" s="148"/>
    </row>
    <row r="100" spans="1:23">
      <c r="A100" s="145">
        <v>93</v>
      </c>
      <c r="B100" s="150" t="s">
        <v>441</v>
      </c>
      <c r="C100" s="149">
        <v>9.5</v>
      </c>
      <c r="D100" s="153"/>
      <c r="E100" s="149">
        <v>0</v>
      </c>
      <c r="F100" s="149">
        <v>9.5</v>
      </c>
      <c r="G100" s="154"/>
      <c r="H100" s="154"/>
      <c r="I100" s="154">
        <v>2</v>
      </c>
      <c r="J100" s="154">
        <v>3.7</v>
      </c>
      <c r="K100" s="154"/>
      <c r="L100" s="154"/>
      <c r="M100" s="154"/>
      <c r="N100" s="154"/>
      <c r="O100" s="154">
        <v>3</v>
      </c>
      <c r="P100" s="154"/>
      <c r="Q100" s="154">
        <v>0.8</v>
      </c>
      <c r="R100" s="149"/>
      <c r="S100" s="154"/>
      <c r="T100" s="156"/>
      <c r="U100" s="152"/>
      <c r="V100" s="148"/>
      <c r="W100" s="148"/>
    </row>
    <row r="101" spans="1:23">
      <c r="A101" s="145">
        <v>94</v>
      </c>
      <c r="B101" s="150" t="s">
        <v>442</v>
      </c>
      <c r="C101" s="149">
        <v>828</v>
      </c>
      <c r="D101" s="153">
        <v>617.4</v>
      </c>
      <c r="E101" s="149">
        <v>191.3</v>
      </c>
      <c r="F101" s="149">
        <v>19.3</v>
      </c>
      <c r="G101" s="154"/>
      <c r="H101" s="154"/>
      <c r="I101" s="154"/>
      <c r="J101" s="154"/>
      <c r="K101" s="154"/>
      <c r="L101" s="154"/>
      <c r="M101" s="154"/>
      <c r="N101" s="154">
        <v>9.9</v>
      </c>
      <c r="O101" s="154"/>
      <c r="P101" s="154"/>
      <c r="Q101" s="154"/>
      <c r="R101" s="149">
        <v>5.0999999999999996</v>
      </c>
      <c r="S101" s="154">
        <v>1.2999999999999998</v>
      </c>
      <c r="T101" s="156">
        <v>3</v>
      </c>
      <c r="U101" s="152"/>
      <c r="V101" s="148"/>
      <c r="W101" s="148"/>
    </row>
    <row r="102" spans="1:23" ht="24">
      <c r="A102" s="145">
        <v>95</v>
      </c>
      <c r="B102" s="193" t="s">
        <v>459</v>
      </c>
      <c r="C102" s="157">
        <v>1051.0999999999999</v>
      </c>
      <c r="D102" s="157">
        <v>711.3</v>
      </c>
      <c r="E102" s="157">
        <v>211.89999999999998</v>
      </c>
      <c r="F102" s="157">
        <v>127.90000000000002</v>
      </c>
      <c r="G102" s="157">
        <v>0</v>
      </c>
      <c r="H102" s="157">
        <v>0.1</v>
      </c>
      <c r="I102" s="157">
        <v>47.300000000000004</v>
      </c>
      <c r="J102" s="157">
        <v>18.8</v>
      </c>
      <c r="K102" s="157">
        <v>1.8</v>
      </c>
      <c r="L102" s="157">
        <v>34.700000000000003</v>
      </c>
      <c r="M102" s="157">
        <v>0</v>
      </c>
      <c r="N102" s="157">
        <v>6.7</v>
      </c>
      <c r="O102" s="157">
        <v>5.4</v>
      </c>
      <c r="P102" s="157">
        <v>0.3</v>
      </c>
      <c r="Q102" s="157">
        <v>2.2000000000000002</v>
      </c>
      <c r="R102" s="157">
        <v>3.7</v>
      </c>
      <c r="S102" s="157">
        <v>6.9</v>
      </c>
      <c r="T102" s="158">
        <v>0</v>
      </c>
      <c r="U102" s="157">
        <v>0</v>
      </c>
      <c r="V102" s="148"/>
      <c r="W102" s="148"/>
    </row>
    <row r="103" spans="1:23">
      <c r="A103" s="145">
        <v>96</v>
      </c>
      <c r="B103" s="150" t="s">
        <v>440</v>
      </c>
      <c r="C103" s="159">
        <v>375.4</v>
      </c>
      <c r="D103" s="159">
        <v>213.9</v>
      </c>
      <c r="E103" s="159">
        <v>57.8</v>
      </c>
      <c r="F103" s="159">
        <v>103.70000000000002</v>
      </c>
      <c r="G103" s="159">
        <v>0</v>
      </c>
      <c r="H103" s="159">
        <v>0.1</v>
      </c>
      <c r="I103" s="159">
        <v>44.2</v>
      </c>
      <c r="J103" s="159">
        <v>15.8</v>
      </c>
      <c r="K103" s="159">
        <v>1.8</v>
      </c>
      <c r="L103" s="159">
        <v>32.200000000000003</v>
      </c>
      <c r="M103" s="159">
        <v>0</v>
      </c>
      <c r="N103" s="159">
        <v>0.4</v>
      </c>
      <c r="O103" s="159">
        <v>3.3</v>
      </c>
      <c r="P103" s="159">
        <v>0.3</v>
      </c>
      <c r="Q103" s="159">
        <v>1.2</v>
      </c>
      <c r="R103" s="159">
        <v>0.2</v>
      </c>
      <c r="S103" s="159">
        <v>4.2</v>
      </c>
      <c r="T103" s="159">
        <v>0</v>
      </c>
      <c r="U103" s="160"/>
      <c r="V103" s="148"/>
      <c r="W103" s="148"/>
    </row>
    <row r="104" spans="1:23">
      <c r="A104" s="145">
        <v>97</v>
      </c>
      <c r="B104" s="150" t="s">
        <v>441</v>
      </c>
      <c r="C104" s="159">
        <v>11.7</v>
      </c>
      <c r="D104" s="161"/>
      <c r="E104" s="149">
        <v>0</v>
      </c>
      <c r="F104" s="159">
        <v>11.7</v>
      </c>
      <c r="G104" s="162"/>
      <c r="H104" s="162"/>
      <c r="I104" s="162">
        <v>3.1</v>
      </c>
      <c r="J104" s="162">
        <v>3</v>
      </c>
      <c r="K104" s="162"/>
      <c r="L104" s="162">
        <v>2.5</v>
      </c>
      <c r="M104" s="162"/>
      <c r="N104" s="162"/>
      <c r="O104" s="162">
        <v>2.1</v>
      </c>
      <c r="P104" s="162"/>
      <c r="Q104" s="162">
        <v>1</v>
      </c>
      <c r="R104" s="149"/>
      <c r="S104" s="162"/>
      <c r="T104" s="163"/>
      <c r="U104" s="160"/>
      <c r="V104" s="148"/>
      <c r="W104" s="148"/>
    </row>
    <row r="105" spans="1:23">
      <c r="A105" s="145">
        <v>98</v>
      </c>
      <c r="B105" s="150" t="s">
        <v>442</v>
      </c>
      <c r="C105" s="159">
        <v>664</v>
      </c>
      <c r="D105" s="161">
        <v>497.4</v>
      </c>
      <c r="E105" s="149">
        <v>154.1</v>
      </c>
      <c r="F105" s="159">
        <v>12.5</v>
      </c>
      <c r="G105" s="162"/>
      <c r="H105" s="162"/>
      <c r="I105" s="162"/>
      <c r="J105" s="162"/>
      <c r="K105" s="162"/>
      <c r="L105" s="162"/>
      <c r="M105" s="162"/>
      <c r="N105" s="162">
        <v>6.3</v>
      </c>
      <c r="O105" s="162"/>
      <c r="P105" s="162"/>
      <c r="Q105" s="162"/>
      <c r="R105" s="149">
        <v>3.5</v>
      </c>
      <c r="S105" s="162">
        <v>2.7</v>
      </c>
      <c r="T105" s="163"/>
      <c r="U105" s="160"/>
      <c r="V105" s="148"/>
      <c r="W105" s="148"/>
    </row>
    <row r="106" spans="1:23">
      <c r="A106" s="145">
        <v>99</v>
      </c>
      <c r="B106" s="192" t="s">
        <v>47</v>
      </c>
      <c r="C106" s="146">
        <v>1739.1</v>
      </c>
      <c r="D106" s="146">
        <v>1073.8</v>
      </c>
      <c r="E106" s="146">
        <v>318.10000000000002</v>
      </c>
      <c r="F106" s="146">
        <v>347.20000000000005</v>
      </c>
      <c r="G106" s="146">
        <v>48</v>
      </c>
      <c r="H106" s="146">
        <v>0.3</v>
      </c>
      <c r="I106" s="146">
        <v>165.10000000000002</v>
      </c>
      <c r="J106" s="146">
        <v>43.9</v>
      </c>
      <c r="K106" s="146">
        <v>2.4</v>
      </c>
      <c r="L106" s="146">
        <v>29.7</v>
      </c>
      <c r="M106" s="146">
        <v>0.5</v>
      </c>
      <c r="N106" s="146">
        <v>13.4</v>
      </c>
      <c r="O106" s="146">
        <v>14.2</v>
      </c>
      <c r="P106" s="146">
        <v>0.3</v>
      </c>
      <c r="Q106" s="146">
        <v>5.9</v>
      </c>
      <c r="R106" s="146">
        <v>5.8000000000000007</v>
      </c>
      <c r="S106" s="146">
        <v>17.7</v>
      </c>
      <c r="T106" s="147">
        <v>0</v>
      </c>
      <c r="U106" s="146">
        <v>0</v>
      </c>
      <c r="V106" s="148"/>
      <c r="W106" s="148"/>
    </row>
    <row r="107" spans="1:23">
      <c r="A107" s="145">
        <v>100</v>
      </c>
      <c r="B107" s="150" t="s">
        <v>440</v>
      </c>
      <c r="C107" s="149">
        <v>717.30000000000007</v>
      </c>
      <c r="D107" s="149">
        <v>369.3</v>
      </c>
      <c r="E107" s="149">
        <v>99.8</v>
      </c>
      <c r="F107" s="149">
        <v>248.20000000000005</v>
      </c>
      <c r="G107" s="149">
        <v>0</v>
      </c>
      <c r="H107" s="149">
        <v>0.3</v>
      </c>
      <c r="I107" s="149">
        <v>157.80000000000001</v>
      </c>
      <c r="J107" s="149">
        <v>36.6</v>
      </c>
      <c r="K107" s="149">
        <v>2.4</v>
      </c>
      <c r="L107" s="149">
        <v>27.4</v>
      </c>
      <c r="M107" s="149">
        <v>0.5</v>
      </c>
      <c r="N107" s="149">
        <v>0.5</v>
      </c>
      <c r="O107" s="149">
        <v>7.4</v>
      </c>
      <c r="P107" s="149">
        <v>0.3</v>
      </c>
      <c r="Q107" s="149">
        <v>4.4000000000000004</v>
      </c>
      <c r="R107" s="149">
        <v>0.4</v>
      </c>
      <c r="S107" s="149">
        <v>10.199999999999999</v>
      </c>
      <c r="T107" s="149">
        <v>0</v>
      </c>
      <c r="U107" s="152"/>
      <c r="V107" s="148"/>
      <c r="W107" s="148"/>
    </row>
    <row r="108" spans="1:23">
      <c r="A108" s="145">
        <v>101</v>
      </c>
      <c r="B108" s="150" t="s">
        <v>441</v>
      </c>
      <c r="C108" s="149">
        <v>77.099999999999994</v>
      </c>
      <c r="D108" s="153">
        <v>1.5</v>
      </c>
      <c r="E108" s="149">
        <v>0.5</v>
      </c>
      <c r="F108" s="149">
        <v>75.099999999999994</v>
      </c>
      <c r="G108" s="154">
        <v>48</v>
      </c>
      <c r="H108" s="154"/>
      <c r="I108" s="154">
        <v>7.3</v>
      </c>
      <c r="J108" s="154">
        <v>7.3</v>
      </c>
      <c r="K108" s="154"/>
      <c r="L108" s="154">
        <v>2.2999999999999998</v>
      </c>
      <c r="M108" s="154"/>
      <c r="N108" s="154"/>
      <c r="O108" s="154">
        <v>6.8</v>
      </c>
      <c r="P108" s="154"/>
      <c r="Q108" s="154">
        <v>1.5</v>
      </c>
      <c r="R108" s="149"/>
      <c r="S108" s="154">
        <v>1.9</v>
      </c>
      <c r="T108" s="156"/>
      <c r="U108" s="152"/>
      <c r="V108" s="148"/>
      <c r="W108" s="148"/>
    </row>
    <row r="109" spans="1:23">
      <c r="A109" s="145">
        <v>102</v>
      </c>
      <c r="B109" s="150" t="s">
        <v>442</v>
      </c>
      <c r="C109" s="149">
        <v>944.69999999999993</v>
      </c>
      <c r="D109" s="153">
        <v>703</v>
      </c>
      <c r="E109" s="149">
        <v>217.8</v>
      </c>
      <c r="F109" s="149">
        <v>23.9</v>
      </c>
      <c r="G109" s="154"/>
      <c r="H109" s="154"/>
      <c r="I109" s="154"/>
      <c r="J109" s="154"/>
      <c r="K109" s="154"/>
      <c r="L109" s="154"/>
      <c r="M109" s="154"/>
      <c r="N109" s="154">
        <v>12.9</v>
      </c>
      <c r="O109" s="154"/>
      <c r="P109" s="154"/>
      <c r="Q109" s="154"/>
      <c r="R109" s="149">
        <v>5.4</v>
      </c>
      <c r="S109" s="154">
        <v>5.6</v>
      </c>
      <c r="T109" s="156"/>
      <c r="U109" s="152"/>
      <c r="V109" s="148"/>
      <c r="W109" s="148"/>
    </row>
    <row r="110" spans="1:23">
      <c r="A110" s="145">
        <v>103</v>
      </c>
      <c r="B110" s="192" t="s">
        <v>48</v>
      </c>
      <c r="C110" s="146">
        <v>921.40000000000009</v>
      </c>
      <c r="D110" s="146">
        <v>650.70000000000005</v>
      </c>
      <c r="E110" s="146">
        <v>195.7</v>
      </c>
      <c r="F110" s="146">
        <v>74.999999999999986</v>
      </c>
      <c r="G110" s="146">
        <v>0</v>
      </c>
      <c r="H110" s="146">
        <v>0.1</v>
      </c>
      <c r="I110" s="146">
        <v>26</v>
      </c>
      <c r="J110" s="146">
        <v>14.9</v>
      </c>
      <c r="K110" s="146">
        <v>2.8</v>
      </c>
      <c r="L110" s="146">
        <v>0</v>
      </c>
      <c r="M110" s="146">
        <v>0</v>
      </c>
      <c r="N110" s="146">
        <v>7.6000000000000005</v>
      </c>
      <c r="O110" s="146">
        <v>7.8999999999999995</v>
      </c>
      <c r="P110" s="146">
        <v>0.3</v>
      </c>
      <c r="Q110" s="146">
        <v>1.7999999999999998</v>
      </c>
      <c r="R110" s="146">
        <v>3.9</v>
      </c>
      <c r="S110" s="146">
        <v>9.6999999999999993</v>
      </c>
      <c r="T110" s="147">
        <v>0</v>
      </c>
      <c r="U110" s="146">
        <v>0</v>
      </c>
      <c r="V110" s="148"/>
      <c r="W110" s="148"/>
    </row>
    <row r="111" spans="1:23">
      <c r="A111" s="145">
        <v>104</v>
      </c>
      <c r="B111" s="150" t="s">
        <v>440</v>
      </c>
      <c r="C111" s="149">
        <v>242</v>
      </c>
      <c r="D111" s="149">
        <v>149.19999999999999</v>
      </c>
      <c r="E111" s="149">
        <v>40.299999999999997</v>
      </c>
      <c r="F111" s="149">
        <v>52.499999999999993</v>
      </c>
      <c r="G111" s="149">
        <v>0</v>
      </c>
      <c r="H111" s="149">
        <v>0.1</v>
      </c>
      <c r="I111" s="149">
        <v>26</v>
      </c>
      <c r="J111" s="149">
        <v>13.9</v>
      </c>
      <c r="K111" s="149">
        <v>1.8</v>
      </c>
      <c r="L111" s="149">
        <v>0</v>
      </c>
      <c r="M111" s="149">
        <v>0</v>
      </c>
      <c r="N111" s="149">
        <v>0.4</v>
      </c>
      <c r="O111" s="149">
        <v>3.8</v>
      </c>
      <c r="P111" s="149">
        <v>0.3</v>
      </c>
      <c r="Q111" s="149">
        <v>1.2</v>
      </c>
      <c r="R111" s="149">
        <v>0.1</v>
      </c>
      <c r="S111" s="149">
        <v>4.8999999999999995</v>
      </c>
      <c r="T111" s="149">
        <v>0</v>
      </c>
      <c r="U111" s="152"/>
      <c r="V111" s="148"/>
      <c r="W111" s="148"/>
    </row>
    <row r="112" spans="1:23">
      <c r="A112" s="145">
        <v>105</v>
      </c>
      <c r="B112" s="150" t="s">
        <v>441</v>
      </c>
      <c r="C112" s="149">
        <v>8.2999999999999989</v>
      </c>
      <c r="D112" s="153"/>
      <c r="E112" s="149">
        <v>0</v>
      </c>
      <c r="F112" s="149">
        <v>8.2999999999999989</v>
      </c>
      <c r="G112" s="154"/>
      <c r="H112" s="154"/>
      <c r="I112" s="154"/>
      <c r="J112" s="154">
        <v>1</v>
      </c>
      <c r="K112" s="154">
        <v>1</v>
      </c>
      <c r="L112" s="154"/>
      <c r="M112" s="154"/>
      <c r="N112" s="154"/>
      <c r="O112" s="154">
        <v>4.0999999999999996</v>
      </c>
      <c r="P112" s="154"/>
      <c r="Q112" s="154">
        <v>0.6</v>
      </c>
      <c r="R112" s="149"/>
      <c r="S112" s="154">
        <v>1.6</v>
      </c>
      <c r="T112" s="156"/>
      <c r="U112" s="152"/>
      <c r="V112" s="148"/>
      <c r="W112" s="148"/>
    </row>
    <row r="113" spans="1:23">
      <c r="A113" s="145">
        <v>106</v>
      </c>
      <c r="B113" s="150" t="s">
        <v>442</v>
      </c>
      <c r="C113" s="149">
        <v>671.1</v>
      </c>
      <c r="D113" s="153">
        <v>501.5</v>
      </c>
      <c r="E113" s="149">
        <v>155.4</v>
      </c>
      <c r="F113" s="149">
        <v>14.2</v>
      </c>
      <c r="G113" s="154"/>
      <c r="H113" s="154"/>
      <c r="I113" s="154"/>
      <c r="J113" s="154"/>
      <c r="K113" s="154"/>
      <c r="L113" s="154"/>
      <c r="M113" s="154"/>
      <c r="N113" s="154">
        <v>7.2</v>
      </c>
      <c r="O113" s="154"/>
      <c r="P113" s="154"/>
      <c r="Q113" s="154"/>
      <c r="R113" s="149">
        <v>3.8</v>
      </c>
      <c r="S113" s="154">
        <v>3.2</v>
      </c>
      <c r="T113" s="156"/>
      <c r="U113" s="152"/>
      <c r="V113" s="148"/>
      <c r="W113" s="148"/>
    </row>
    <row r="114" spans="1:23">
      <c r="A114" s="145">
        <v>107</v>
      </c>
      <c r="B114" s="192" t="s">
        <v>49</v>
      </c>
      <c r="C114" s="146">
        <v>948.5</v>
      </c>
      <c r="D114" s="146">
        <v>635.70000000000005</v>
      </c>
      <c r="E114" s="146">
        <v>189.4</v>
      </c>
      <c r="F114" s="146">
        <v>123.40000000000002</v>
      </c>
      <c r="G114" s="146">
        <v>0</v>
      </c>
      <c r="H114" s="146">
        <v>0.1</v>
      </c>
      <c r="I114" s="146">
        <v>48</v>
      </c>
      <c r="J114" s="146">
        <v>22.6</v>
      </c>
      <c r="K114" s="146">
        <v>1.8</v>
      </c>
      <c r="L114" s="146">
        <v>19.2</v>
      </c>
      <c r="M114" s="146">
        <v>0</v>
      </c>
      <c r="N114" s="146">
        <v>7.4</v>
      </c>
      <c r="O114" s="146">
        <v>8.5</v>
      </c>
      <c r="P114" s="146">
        <v>0.3</v>
      </c>
      <c r="Q114" s="146">
        <v>2.2000000000000002</v>
      </c>
      <c r="R114" s="146">
        <v>3.7</v>
      </c>
      <c r="S114" s="146">
        <v>9.6</v>
      </c>
      <c r="T114" s="147">
        <v>0</v>
      </c>
      <c r="U114" s="146">
        <v>0</v>
      </c>
      <c r="V114" s="148"/>
      <c r="W114" s="148"/>
    </row>
    <row r="115" spans="1:23">
      <c r="A115" s="145">
        <v>108</v>
      </c>
      <c r="B115" s="150" t="s">
        <v>440</v>
      </c>
      <c r="C115" s="149">
        <v>322.3</v>
      </c>
      <c r="D115" s="149">
        <v>192.5</v>
      </c>
      <c r="E115" s="149">
        <v>52.1</v>
      </c>
      <c r="F115" s="149">
        <v>77.700000000000017</v>
      </c>
      <c r="G115" s="149">
        <v>0</v>
      </c>
      <c r="H115" s="149">
        <v>0.1</v>
      </c>
      <c r="I115" s="149">
        <v>33.200000000000003</v>
      </c>
      <c r="J115" s="149">
        <v>17.8</v>
      </c>
      <c r="K115" s="149">
        <v>1.8</v>
      </c>
      <c r="L115" s="149">
        <v>14.2</v>
      </c>
      <c r="M115" s="149">
        <v>0</v>
      </c>
      <c r="N115" s="149">
        <v>0.4</v>
      </c>
      <c r="O115" s="149">
        <v>3.7</v>
      </c>
      <c r="P115" s="149">
        <v>0.3</v>
      </c>
      <c r="Q115" s="149">
        <v>1.2</v>
      </c>
      <c r="R115" s="149">
        <v>0.2</v>
      </c>
      <c r="S115" s="149">
        <v>4.8</v>
      </c>
      <c r="T115" s="149">
        <v>0</v>
      </c>
      <c r="U115" s="152"/>
      <c r="V115" s="148"/>
      <c r="W115" s="148"/>
    </row>
    <row r="116" spans="1:23">
      <c r="A116" s="145">
        <v>109</v>
      </c>
      <c r="B116" s="150" t="s">
        <v>441</v>
      </c>
      <c r="C116" s="149">
        <v>32.200000000000003</v>
      </c>
      <c r="D116" s="153"/>
      <c r="E116" s="149">
        <v>0</v>
      </c>
      <c r="F116" s="149">
        <v>32.200000000000003</v>
      </c>
      <c r="G116" s="154"/>
      <c r="H116" s="154"/>
      <c r="I116" s="154">
        <v>14.8</v>
      </c>
      <c r="J116" s="154">
        <v>4.8</v>
      </c>
      <c r="K116" s="154"/>
      <c r="L116" s="154">
        <v>5</v>
      </c>
      <c r="M116" s="154"/>
      <c r="N116" s="154"/>
      <c r="O116" s="154">
        <v>4.8</v>
      </c>
      <c r="P116" s="154"/>
      <c r="Q116" s="154">
        <v>1</v>
      </c>
      <c r="R116" s="149"/>
      <c r="S116" s="154">
        <v>1.8</v>
      </c>
      <c r="T116" s="156"/>
      <c r="U116" s="152"/>
      <c r="V116" s="148"/>
      <c r="W116" s="148"/>
    </row>
    <row r="117" spans="1:23">
      <c r="A117" s="145">
        <v>110</v>
      </c>
      <c r="B117" s="150" t="s">
        <v>442</v>
      </c>
      <c r="C117" s="149">
        <v>594</v>
      </c>
      <c r="D117" s="153">
        <v>443.2</v>
      </c>
      <c r="E117" s="149">
        <v>137.30000000000001</v>
      </c>
      <c r="F117" s="149">
        <v>13.5</v>
      </c>
      <c r="G117" s="154"/>
      <c r="H117" s="154"/>
      <c r="I117" s="154"/>
      <c r="J117" s="154"/>
      <c r="K117" s="154"/>
      <c r="L117" s="154"/>
      <c r="M117" s="154"/>
      <c r="N117" s="154">
        <v>7</v>
      </c>
      <c r="O117" s="154"/>
      <c r="P117" s="154"/>
      <c r="Q117" s="154"/>
      <c r="R117" s="149">
        <v>3.5</v>
      </c>
      <c r="S117" s="154">
        <v>3</v>
      </c>
      <c r="T117" s="156"/>
      <c r="U117" s="152"/>
      <c r="V117" s="148"/>
      <c r="W117" s="148"/>
    </row>
    <row r="118" spans="1:23" ht="24">
      <c r="A118" s="145">
        <v>111</v>
      </c>
      <c r="B118" s="193" t="s">
        <v>50</v>
      </c>
      <c r="C118" s="146">
        <v>1120.9000000000001</v>
      </c>
      <c r="D118" s="146">
        <v>786.6</v>
      </c>
      <c r="E118" s="146">
        <v>235.20000000000002</v>
      </c>
      <c r="F118" s="146">
        <v>99.100000000000009</v>
      </c>
      <c r="G118" s="146">
        <v>0</v>
      </c>
      <c r="H118" s="146">
        <v>0.1</v>
      </c>
      <c r="I118" s="146">
        <v>29.700000000000003</v>
      </c>
      <c r="J118" s="146">
        <v>18.7</v>
      </c>
      <c r="K118" s="146">
        <v>1.8</v>
      </c>
      <c r="L118" s="146">
        <v>15.9</v>
      </c>
      <c r="M118" s="146">
        <v>0</v>
      </c>
      <c r="N118" s="146">
        <v>8.7000000000000011</v>
      </c>
      <c r="O118" s="146">
        <v>8</v>
      </c>
      <c r="P118" s="146">
        <v>0.3</v>
      </c>
      <c r="Q118" s="146">
        <v>2.2999999999999998</v>
      </c>
      <c r="R118" s="146">
        <v>4.5</v>
      </c>
      <c r="S118" s="146">
        <v>9.1</v>
      </c>
      <c r="T118" s="147">
        <v>0</v>
      </c>
      <c r="U118" s="146">
        <v>0</v>
      </c>
      <c r="V118" s="148"/>
      <c r="W118" s="148"/>
    </row>
    <row r="119" spans="1:23">
      <c r="A119" s="145">
        <v>112</v>
      </c>
      <c r="B119" s="150" t="s">
        <v>440</v>
      </c>
      <c r="C119" s="149">
        <v>342.1</v>
      </c>
      <c r="D119" s="149">
        <v>215.9</v>
      </c>
      <c r="E119" s="149">
        <v>58.4</v>
      </c>
      <c r="F119" s="149">
        <v>67.8</v>
      </c>
      <c r="G119" s="149">
        <v>0</v>
      </c>
      <c r="H119" s="149">
        <v>0.1</v>
      </c>
      <c r="I119" s="149">
        <v>26.1</v>
      </c>
      <c r="J119" s="149">
        <v>13.4</v>
      </c>
      <c r="K119" s="149">
        <v>1.8</v>
      </c>
      <c r="L119" s="149">
        <v>14.9</v>
      </c>
      <c r="M119" s="149">
        <v>0</v>
      </c>
      <c r="N119" s="149">
        <v>0.4</v>
      </c>
      <c r="O119" s="149">
        <v>4.3</v>
      </c>
      <c r="P119" s="149">
        <v>0.3</v>
      </c>
      <c r="Q119" s="149">
        <v>1.4</v>
      </c>
      <c r="R119" s="149">
        <v>0.2</v>
      </c>
      <c r="S119" s="149">
        <v>4.8999999999999995</v>
      </c>
      <c r="T119" s="149">
        <v>0</v>
      </c>
      <c r="U119" s="152"/>
      <c r="V119" s="148"/>
      <c r="W119" s="148"/>
    </row>
    <row r="120" spans="1:23">
      <c r="A120" s="145">
        <v>113</v>
      </c>
      <c r="B120" s="150" t="s">
        <v>441</v>
      </c>
      <c r="C120" s="149">
        <v>15.100000000000001</v>
      </c>
      <c r="D120" s="153"/>
      <c r="E120" s="149">
        <v>0</v>
      </c>
      <c r="F120" s="149">
        <v>15.100000000000001</v>
      </c>
      <c r="G120" s="154"/>
      <c r="H120" s="154"/>
      <c r="I120" s="154">
        <v>3.6</v>
      </c>
      <c r="J120" s="154">
        <v>5.3</v>
      </c>
      <c r="K120" s="154"/>
      <c r="L120" s="154">
        <v>1</v>
      </c>
      <c r="M120" s="154"/>
      <c r="N120" s="154"/>
      <c r="O120" s="154">
        <v>3.7</v>
      </c>
      <c r="P120" s="154"/>
      <c r="Q120" s="154">
        <v>0.9</v>
      </c>
      <c r="R120" s="149"/>
      <c r="S120" s="154">
        <v>0.6</v>
      </c>
      <c r="T120" s="156"/>
      <c r="U120" s="152"/>
      <c r="V120" s="148"/>
      <c r="W120" s="148"/>
    </row>
    <row r="121" spans="1:23">
      <c r="A121" s="145">
        <v>114</v>
      </c>
      <c r="B121" s="150" t="s">
        <v>442</v>
      </c>
      <c r="C121" s="149">
        <v>763.7</v>
      </c>
      <c r="D121" s="153">
        <v>570.70000000000005</v>
      </c>
      <c r="E121" s="149">
        <v>176.8</v>
      </c>
      <c r="F121" s="149">
        <v>16.200000000000003</v>
      </c>
      <c r="G121" s="154"/>
      <c r="H121" s="154"/>
      <c r="I121" s="154"/>
      <c r="J121" s="154"/>
      <c r="K121" s="154"/>
      <c r="L121" s="154"/>
      <c r="M121" s="154"/>
      <c r="N121" s="154">
        <v>8.3000000000000007</v>
      </c>
      <c r="O121" s="154"/>
      <c r="P121" s="154"/>
      <c r="Q121" s="154"/>
      <c r="R121" s="149">
        <v>4.3</v>
      </c>
      <c r="S121" s="154">
        <v>3.6</v>
      </c>
      <c r="T121" s="156"/>
      <c r="U121" s="152"/>
      <c r="V121" s="148"/>
      <c r="W121" s="148"/>
    </row>
    <row r="122" spans="1:23">
      <c r="A122" s="145">
        <v>115</v>
      </c>
      <c r="B122" s="192" t="s">
        <v>51</v>
      </c>
      <c r="C122" s="146">
        <v>1119.5</v>
      </c>
      <c r="D122" s="146">
        <v>755.09999999999991</v>
      </c>
      <c r="E122" s="146">
        <v>227</v>
      </c>
      <c r="F122" s="146">
        <v>137.4</v>
      </c>
      <c r="G122" s="146">
        <v>0</v>
      </c>
      <c r="H122" s="146">
        <v>0.2</v>
      </c>
      <c r="I122" s="146">
        <v>45.4</v>
      </c>
      <c r="J122" s="146">
        <v>21.7</v>
      </c>
      <c r="K122" s="146">
        <v>1.8</v>
      </c>
      <c r="L122" s="146">
        <v>31.4</v>
      </c>
      <c r="M122" s="146">
        <v>0</v>
      </c>
      <c r="N122" s="146">
        <v>10.9</v>
      </c>
      <c r="O122" s="146">
        <v>6.4</v>
      </c>
      <c r="P122" s="146">
        <v>0.3</v>
      </c>
      <c r="Q122" s="146">
        <v>3.7</v>
      </c>
      <c r="R122" s="146">
        <v>4.7</v>
      </c>
      <c r="S122" s="146">
        <v>10.899999999999999</v>
      </c>
      <c r="T122" s="147">
        <v>0</v>
      </c>
      <c r="U122" s="146">
        <v>0</v>
      </c>
      <c r="V122" s="148"/>
      <c r="W122" s="148"/>
    </row>
    <row r="123" spans="1:23">
      <c r="A123" s="145">
        <v>116</v>
      </c>
      <c r="B123" s="150" t="s">
        <v>440</v>
      </c>
      <c r="C123" s="149">
        <v>327.8</v>
      </c>
      <c r="D123" s="149">
        <v>174.2</v>
      </c>
      <c r="E123" s="149">
        <v>47</v>
      </c>
      <c r="F123" s="149">
        <v>106.60000000000001</v>
      </c>
      <c r="G123" s="149">
        <v>0</v>
      </c>
      <c r="H123" s="149">
        <v>0.2</v>
      </c>
      <c r="I123" s="149">
        <v>45.4</v>
      </c>
      <c r="J123" s="149">
        <v>15.2</v>
      </c>
      <c r="K123" s="149">
        <v>1.8</v>
      </c>
      <c r="L123" s="149">
        <v>29.7</v>
      </c>
      <c r="M123" s="149">
        <v>0</v>
      </c>
      <c r="N123" s="149">
        <v>0.4</v>
      </c>
      <c r="O123" s="149">
        <v>5.5</v>
      </c>
      <c r="P123" s="149">
        <v>0.3</v>
      </c>
      <c r="Q123" s="149">
        <v>1.7</v>
      </c>
      <c r="R123" s="149">
        <v>0.2</v>
      </c>
      <c r="S123" s="149">
        <v>6.1999999999999993</v>
      </c>
      <c r="T123" s="149">
        <v>0</v>
      </c>
      <c r="U123" s="152"/>
      <c r="V123" s="148"/>
      <c r="W123" s="148"/>
    </row>
    <row r="124" spans="1:23">
      <c r="A124" s="145">
        <v>117</v>
      </c>
      <c r="B124" s="150" t="s">
        <v>441</v>
      </c>
      <c r="C124" s="149">
        <v>11.2</v>
      </c>
      <c r="D124" s="153"/>
      <c r="E124" s="149">
        <v>0</v>
      </c>
      <c r="F124" s="149">
        <v>11.2</v>
      </c>
      <c r="G124" s="154"/>
      <c r="H124" s="154"/>
      <c r="I124" s="154"/>
      <c r="J124" s="154">
        <v>6.5</v>
      </c>
      <c r="K124" s="154"/>
      <c r="L124" s="154">
        <v>1.7</v>
      </c>
      <c r="M124" s="154"/>
      <c r="N124" s="154"/>
      <c r="O124" s="154">
        <v>0.9</v>
      </c>
      <c r="P124" s="154"/>
      <c r="Q124" s="154">
        <v>2</v>
      </c>
      <c r="R124" s="149"/>
      <c r="S124" s="154">
        <v>0.1</v>
      </c>
      <c r="T124" s="156"/>
      <c r="U124" s="152"/>
      <c r="V124" s="148"/>
      <c r="W124" s="148"/>
    </row>
    <row r="125" spans="1:23">
      <c r="A125" s="145">
        <v>118</v>
      </c>
      <c r="B125" s="150" t="s">
        <v>442</v>
      </c>
      <c r="C125" s="149">
        <v>780.5</v>
      </c>
      <c r="D125" s="153">
        <v>580.9</v>
      </c>
      <c r="E125" s="149">
        <v>180</v>
      </c>
      <c r="F125" s="149">
        <v>19.600000000000001</v>
      </c>
      <c r="G125" s="154"/>
      <c r="H125" s="154"/>
      <c r="I125" s="154"/>
      <c r="J125" s="154"/>
      <c r="K125" s="154"/>
      <c r="L125" s="154"/>
      <c r="M125" s="154"/>
      <c r="N125" s="154">
        <v>10.5</v>
      </c>
      <c r="O125" s="154"/>
      <c r="P125" s="154"/>
      <c r="Q125" s="154"/>
      <c r="R125" s="149">
        <v>4.5</v>
      </c>
      <c r="S125" s="154">
        <v>4.5999999999999996</v>
      </c>
      <c r="T125" s="156"/>
      <c r="U125" s="152"/>
      <c r="V125" s="148"/>
      <c r="W125" s="148"/>
    </row>
    <row r="126" spans="1:23">
      <c r="A126" s="145">
        <v>119</v>
      </c>
      <c r="B126" s="192" t="s">
        <v>52</v>
      </c>
      <c r="C126" s="157">
        <v>677.2</v>
      </c>
      <c r="D126" s="157">
        <v>401.70000000000005</v>
      </c>
      <c r="E126" s="157">
        <v>121</v>
      </c>
      <c r="F126" s="157">
        <v>154.5</v>
      </c>
      <c r="G126" s="157">
        <v>0</v>
      </c>
      <c r="H126" s="157">
        <v>0.4</v>
      </c>
      <c r="I126" s="157">
        <v>31.2</v>
      </c>
      <c r="J126" s="157">
        <v>7.9</v>
      </c>
      <c r="K126" s="157">
        <v>4.4000000000000004</v>
      </c>
      <c r="L126" s="157">
        <v>8</v>
      </c>
      <c r="M126" s="157">
        <v>0</v>
      </c>
      <c r="N126" s="157">
        <v>13.6</v>
      </c>
      <c r="O126" s="157">
        <v>39</v>
      </c>
      <c r="P126" s="157">
        <v>1</v>
      </c>
      <c r="Q126" s="157">
        <v>2.6</v>
      </c>
      <c r="R126" s="157">
        <v>2.2000000000000002</v>
      </c>
      <c r="S126" s="157">
        <v>44.199999999999996</v>
      </c>
      <c r="T126" s="158">
        <v>0</v>
      </c>
      <c r="U126" s="157">
        <v>0</v>
      </c>
      <c r="V126" s="148"/>
      <c r="W126" s="148"/>
    </row>
    <row r="127" spans="1:23">
      <c r="A127" s="145">
        <v>120</v>
      </c>
      <c r="B127" s="150" t="s">
        <v>440</v>
      </c>
      <c r="C127" s="159">
        <v>180.5</v>
      </c>
      <c r="D127" s="159">
        <v>87.1</v>
      </c>
      <c r="E127" s="159">
        <v>23.5</v>
      </c>
      <c r="F127" s="159">
        <v>69.900000000000006</v>
      </c>
      <c r="G127" s="159">
        <v>0</v>
      </c>
      <c r="H127" s="159">
        <v>0.4</v>
      </c>
      <c r="I127" s="159">
        <v>31.2</v>
      </c>
      <c r="J127" s="159">
        <v>7.9</v>
      </c>
      <c r="K127" s="159">
        <v>4.4000000000000004</v>
      </c>
      <c r="L127" s="159">
        <v>4</v>
      </c>
      <c r="M127" s="159">
        <v>0</v>
      </c>
      <c r="N127" s="159">
        <v>0.4</v>
      </c>
      <c r="O127" s="159">
        <v>9.5</v>
      </c>
      <c r="P127" s="159">
        <v>1</v>
      </c>
      <c r="Q127" s="159">
        <v>2.6</v>
      </c>
      <c r="R127" s="159">
        <v>0.1</v>
      </c>
      <c r="S127" s="159">
        <v>8.4</v>
      </c>
      <c r="T127" s="159">
        <v>0</v>
      </c>
      <c r="U127" s="160"/>
      <c r="V127" s="148"/>
      <c r="W127" s="148"/>
    </row>
    <row r="128" spans="1:23">
      <c r="A128" s="145">
        <v>121</v>
      </c>
      <c r="B128" s="150" t="s">
        <v>441</v>
      </c>
      <c r="C128" s="159">
        <v>118.5</v>
      </c>
      <c r="D128" s="161">
        <v>42</v>
      </c>
      <c r="E128" s="149">
        <v>13</v>
      </c>
      <c r="F128" s="159">
        <v>63.5</v>
      </c>
      <c r="G128" s="162"/>
      <c r="H128" s="162"/>
      <c r="I128" s="162"/>
      <c r="J128" s="162"/>
      <c r="K128" s="162"/>
      <c r="L128" s="162">
        <v>4</v>
      </c>
      <c r="M128" s="162"/>
      <c r="N128" s="162"/>
      <c r="O128" s="162">
        <v>29.5</v>
      </c>
      <c r="P128" s="162"/>
      <c r="Q128" s="162"/>
      <c r="R128" s="149"/>
      <c r="S128" s="162">
        <v>30</v>
      </c>
      <c r="T128" s="163"/>
      <c r="U128" s="160"/>
      <c r="V128" s="148"/>
      <c r="W128" s="148"/>
    </row>
    <row r="129" spans="1:23">
      <c r="A129" s="145">
        <v>122</v>
      </c>
      <c r="B129" s="150" t="s">
        <v>442</v>
      </c>
      <c r="C129" s="159">
        <v>378.20000000000005</v>
      </c>
      <c r="D129" s="161">
        <v>272.60000000000002</v>
      </c>
      <c r="E129" s="149">
        <v>84.5</v>
      </c>
      <c r="F129" s="159">
        <v>21.099999999999998</v>
      </c>
      <c r="G129" s="162"/>
      <c r="H129" s="162"/>
      <c r="I129" s="162"/>
      <c r="J129" s="162"/>
      <c r="K129" s="162"/>
      <c r="L129" s="162"/>
      <c r="M129" s="162"/>
      <c r="N129" s="162">
        <v>13.2</v>
      </c>
      <c r="O129" s="162"/>
      <c r="P129" s="162"/>
      <c r="Q129" s="162"/>
      <c r="R129" s="149">
        <v>2.1</v>
      </c>
      <c r="S129" s="162">
        <v>5.8</v>
      </c>
      <c r="T129" s="163"/>
      <c r="U129" s="160"/>
      <c r="V129" s="148"/>
      <c r="W129" s="148"/>
    </row>
    <row r="130" spans="1:23">
      <c r="A130" s="145">
        <v>123</v>
      </c>
      <c r="B130" s="192" t="s">
        <v>460</v>
      </c>
      <c r="C130" s="157">
        <v>3558.7999999999997</v>
      </c>
      <c r="D130" s="157">
        <v>2283.6999999999998</v>
      </c>
      <c r="E130" s="157">
        <v>698.7</v>
      </c>
      <c r="F130" s="157">
        <v>576.4</v>
      </c>
      <c r="G130" s="157">
        <v>138</v>
      </c>
      <c r="H130" s="157">
        <v>3</v>
      </c>
      <c r="I130" s="157">
        <v>237</v>
      </c>
      <c r="J130" s="157">
        <v>52.4</v>
      </c>
      <c r="K130" s="157">
        <v>10.9</v>
      </c>
      <c r="L130" s="157">
        <v>36.700000000000003</v>
      </c>
      <c r="M130" s="157">
        <v>4</v>
      </c>
      <c r="N130" s="157">
        <v>10.9</v>
      </c>
      <c r="O130" s="157">
        <v>30.799999999999997</v>
      </c>
      <c r="P130" s="157">
        <v>0.7</v>
      </c>
      <c r="Q130" s="157">
        <v>17.8</v>
      </c>
      <c r="R130" s="157">
        <v>10.200000000000001</v>
      </c>
      <c r="S130" s="157">
        <v>24</v>
      </c>
      <c r="T130" s="158">
        <v>0</v>
      </c>
      <c r="U130" s="157">
        <v>0</v>
      </c>
      <c r="V130" s="148"/>
      <c r="W130" s="148"/>
    </row>
    <row r="131" spans="1:23">
      <c r="A131" s="145">
        <v>124</v>
      </c>
      <c r="B131" s="150" t="s">
        <v>440</v>
      </c>
      <c r="C131" s="159">
        <v>320</v>
      </c>
      <c r="D131" s="159">
        <v>222.5</v>
      </c>
      <c r="E131" s="159">
        <v>60.1</v>
      </c>
      <c r="F131" s="159">
        <v>37.4</v>
      </c>
      <c r="G131" s="159">
        <v>0</v>
      </c>
      <c r="H131" s="159">
        <v>0</v>
      </c>
      <c r="I131" s="159">
        <v>19.8</v>
      </c>
      <c r="J131" s="159">
        <v>6.4</v>
      </c>
      <c r="K131" s="159">
        <v>1.9</v>
      </c>
      <c r="L131" s="159">
        <v>0.7</v>
      </c>
      <c r="M131" s="159">
        <v>0</v>
      </c>
      <c r="N131" s="159">
        <v>0.1</v>
      </c>
      <c r="O131" s="159">
        <v>0.4</v>
      </c>
      <c r="P131" s="159">
        <v>0.3</v>
      </c>
      <c r="Q131" s="159">
        <v>4.8</v>
      </c>
      <c r="R131" s="159">
        <v>0.3</v>
      </c>
      <c r="S131" s="159">
        <v>2.7</v>
      </c>
      <c r="T131" s="159">
        <v>0</v>
      </c>
      <c r="U131" s="160"/>
      <c r="V131" s="148"/>
      <c r="W131" s="148"/>
    </row>
    <row r="132" spans="1:23">
      <c r="A132" s="145">
        <v>125</v>
      </c>
      <c r="B132" s="150" t="s">
        <v>441</v>
      </c>
      <c r="C132" s="159">
        <v>58.4</v>
      </c>
      <c r="D132" s="161"/>
      <c r="E132" s="149">
        <v>0</v>
      </c>
      <c r="F132" s="159">
        <v>58.4</v>
      </c>
      <c r="G132" s="162">
        <v>18</v>
      </c>
      <c r="H132" s="162"/>
      <c r="I132" s="162">
        <v>4</v>
      </c>
      <c r="J132" s="162">
        <v>2</v>
      </c>
      <c r="K132" s="162"/>
      <c r="L132" s="162">
        <v>6</v>
      </c>
      <c r="M132" s="162">
        <v>1</v>
      </c>
      <c r="N132" s="162"/>
      <c r="O132" s="162">
        <v>25.4</v>
      </c>
      <c r="P132" s="162"/>
      <c r="Q132" s="162"/>
      <c r="R132" s="149"/>
      <c r="S132" s="162">
        <v>2</v>
      </c>
      <c r="T132" s="163"/>
      <c r="U132" s="160"/>
      <c r="V132" s="148"/>
      <c r="W132" s="148"/>
    </row>
    <row r="133" spans="1:23">
      <c r="A133" s="145">
        <v>126</v>
      </c>
      <c r="B133" s="150" t="s">
        <v>442</v>
      </c>
      <c r="C133" s="159">
        <v>1343.7</v>
      </c>
      <c r="D133" s="161">
        <v>1010.2</v>
      </c>
      <c r="E133" s="149">
        <v>313</v>
      </c>
      <c r="F133" s="159">
        <v>20.500000000000004</v>
      </c>
      <c r="G133" s="162"/>
      <c r="H133" s="162"/>
      <c r="I133" s="162"/>
      <c r="J133" s="162"/>
      <c r="K133" s="162"/>
      <c r="L133" s="162"/>
      <c r="M133" s="162"/>
      <c r="N133" s="162">
        <v>8.8000000000000007</v>
      </c>
      <c r="O133" s="162"/>
      <c r="P133" s="162"/>
      <c r="Q133" s="162"/>
      <c r="R133" s="149">
        <v>7.9</v>
      </c>
      <c r="S133" s="162">
        <v>3.8</v>
      </c>
      <c r="T133" s="163"/>
      <c r="U133" s="160"/>
      <c r="V133" s="148"/>
      <c r="W133" s="148"/>
    </row>
    <row r="134" spans="1:23">
      <c r="A134" s="145">
        <v>127</v>
      </c>
      <c r="B134" s="150" t="s">
        <v>461</v>
      </c>
      <c r="C134" s="159">
        <v>138.5</v>
      </c>
      <c r="D134" s="161"/>
      <c r="E134" s="149">
        <v>0</v>
      </c>
      <c r="F134" s="159">
        <v>138.5</v>
      </c>
      <c r="G134" s="162">
        <v>120.5</v>
      </c>
      <c r="H134" s="162">
        <v>2.9</v>
      </c>
      <c r="I134" s="162"/>
      <c r="J134" s="162"/>
      <c r="K134" s="162"/>
      <c r="L134" s="162">
        <v>4.3</v>
      </c>
      <c r="M134" s="162">
        <v>7.5</v>
      </c>
      <c r="N134" s="162"/>
      <c r="O134" s="162">
        <v>3.3</v>
      </c>
      <c r="P134" s="162"/>
      <c r="Q134" s="162"/>
      <c r="R134" s="149"/>
      <c r="S134" s="162"/>
      <c r="T134" s="163"/>
      <c r="U134" s="160"/>
      <c r="V134" s="148"/>
      <c r="W134" s="148"/>
    </row>
    <row r="135" spans="1:23">
      <c r="A135" s="145">
        <v>128</v>
      </c>
      <c r="B135" s="150" t="s">
        <v>445</v>
      </c>
      <c r="C135" s="159">
        <v>1836.6999999999998</v>
      </c>
      <c r="D135" s="161">
        <v>1051</v>
      </c>
      <c r="E135" s="149">
        <v>325.60000000000002</v>
      </c>
      <c r="F135" s="159">
        <v>460.09999999999997</v>
      </c>
      <c r="G135" s="162">
        <v>120</v>
      </c>
      <c r="H135" s="162">
        <v>3</v>
      </c>
      <c r="I135" s="162">
        <v>213.2</v>
      </c>
      <c r="J135" s="162">
        <v>44</v>
      </c>
      <c r="K135" s="162">
        <v>9</v>
      </c>
      <c r="L135" s="162">
        <v>30</v>
      </c>
      <c r="M135" s="162">
        <v>3</v>
      </c>
      <c r="N135" s="162">
        <v>2</v>
      </c>
      <c r="O135" s="162">
        <v>5</v>
      </c>
      <c r="P135" s="162">
        <v>0.4</v>
      </c>
      <c r="Q135" s="162">
        <v>13</v>
      </c>
      <c r="R135" s="149">
        <v>2</v>
      </c>
      <c r="S135" s="162">
        <v>15.5</v>
      </c>
      <c r="T135" s="163"/>
      <c r="U135" s="160"/>
      <c r="V135" s="148"/>
      <c r="W135" s="148"/>
    </row>
    <row r="136" spans="1:23">
      <c r="A136" s="145">
        <v>129</v>
      </c>
      <c r="B136" s="192" t="s">
        <v>54</v>
      </c>
      <c r="C136" s="146">
        <v>1700.5</v>
      </c>
      <c r="D136" s="146">
        <v>1176.5</v>
      </c>
      <c r="E136" s="146">
        <v>353.6</v>
      </c>
      <c r="F136" s="146">
        <v>170.4</v>
      </c>
      <c r="G136" s="146">
        <v>0</v>
      </c>
      <c r="H136" s="146">
        <v>0.6</v>
      </c>
      <c r="I136" s="146">
        <v>46.8</v>
      </c>
      <c r="J136" s="146">
        <v>12</v>
      </c>
      <c r="K136" s="146">
        <v>3.7</v>
      </c>
      <c r="L136" s="146">
        <v>32</v>
      </c>
      <c r="M136" s="146">
        <v>0</v>
      </c>
      <c r="N136" s="146">
        <v>10.9</v>
      </c>
      <c r="O136" s="146">
        <v>23.9</v>
      </c>
      <c r="P136" s="146">
        <v>1</v>
      </c>
      <c r="Q136" s="146">
        <v>3.7</v>
      </c>
      <c r="R136" s="146">
        <v>9.6</v>
      </c>
      <c r="S136" s="146">
        <v>26.200000000000003</v>
      </c>
      <c r="T136" s="147">
        <v>0</v>
      </c>
      <c r="U136" s="146">
        <v>0</v>
      </c>
      <c r="V136" s="148"/>
      <c r="W136" s="148"/>
    </row>
    <row r="137" spans="1:23">
      <c r="A137" s="145">
        <v>130</v>
      </c>
      <c r="B137" s="150" t="s">
        <v>440</v>
      </c>
      <c r="C137" s="149">
        <v>448.7</v>
      </c>
      <c r="D137" s="149">
        <v>276.5</v>
      </c>
      <c r="E137" s="149">
        <v>74.8</v>
      </c>
      <c r="F137" s="149">
        <v>97.399999999999991</v>
      </c>
      <c r="G137" s="149">
        <v>0</v>
      </c>
      <c r="H137" s="149">
        <v>0.6</v>
      </c>
      <c r="I137" s="149">
        <v>46.8</v>
      </c>
      <c r="J137" s="149">
        <v>12</v>
      </c>
      <c r="K137" s="149">
        <v>3.7</v>
      </c>
      <c r="L137" s="149">
        <v>0</v>
      </c>
      <c r="M137" s="149">
        <v>0</v>
      </c>
      <c r="N137" s="149">
        <v>0.4</v>
      </c>
      <c r="O137" s="149">
        <v>14.3</v>
      </c>
      <c r="P137" s="149">
        <v>1</v>
      </c>
      <c r="Q137" s="149">
        <v>3.7</v>
      </c>
      <c r="R137" s="149">
        <v>0.3</v>
      </c>
      <c r="S137" s="149">
        <v>14.6</v>
      </c>
      <c r="T137" s="149">
        <v>0</v>
      </c>
      <c r="U137" s="152"/>
      <c r="V137" s="148"/>
      <c r="W137" s="148"/>
    </row>
    <row r="138" spans="1:23">
      <c r="A138" s="145">
        <v>131</v>
      </c>
      <c r="B138" s="150" t="s">
        <v>441</v>
      </c>
      <c r="C138" s="149">
        <v>50.6</v>
      </c>
      <c r="D138" s="153"/>
      <c r="E138" s="149">
        <v>0</v>
      </c>
      <c r="F138" s="149">
        <v>50.6</v>
      </c>
      <c r="G138" s="154"/>
      <c r="H138" s="154"/>
      <c r="I138" s="154"/>
      <c r="J138" s="154"/>
      <c r="K138" s="154"/>
      <c r="L138" s="154">
        <v>32</v>
      </c>
      <c r="M138" s="154"/>
      <c r="N138" s="154"/>
      <c r="O138" s="154">
        <v>9.6</v>
      </c>
      <c r="P138" s="154"/>
      <c r="Q138" s="154"/>
      <c r="R138" s="149">
        <v>2</v>
      </c>
      <c r="S138" s="154">
        <v>7</v>
      </c>
      <c r="T138" s="156"/>
      <c r="U138" s="152"/>
      <c r="V138" s="148"/>
      <c r="W138" s="148"/>
    </row>
    <row r="139" spans="1:23">
      <c r="A139" s="145">
        <v>132</v>
      </c>
      <c r="B139" s="150" t="s">
        <v>442</v>
      </c>
      <c r="C139" s="149">
        <v>1201.2</v>
      </c>
      <c r="D139" s="153">
        <v>900</v>
      </c>
      <c r="E139" s="149">
        <v>278.8</v>
      </c>
      <c r="F139" s="149">
        <v>22.4</v>
      </c>
      <c r="G139" s="154"/>
      <c r="H139" s="154"/>
      <c r="I139" s="154"/>
      <c r="J139" s="154"/>
      <c r="K139" s="154"/>
      <c r="L139" s="154"/>
      <c r="M139" s="154"/>
      <c r="N139" s="154">
        <v>10.5</v>
      </c>
      <c r="O139" s="154"/>
      <c r="P139" s="154"/>
      <c r="Q139" s="154"/>
      <c r="R139" s="149">
        <v>7.3</v>
      </c>
      <c r="S139" s="154">
        <v>4.5999999999999996</v>
      </c>
      <c r="T139" s="156"/>
      <c r="U139" s="152"/>
      <c r="V139" s="148"/>
      <c r="W139" s="148"/>
    </row>
    <row r="140" spans="1:23">
      <c r="A140" s="145">
        <v>133</v>
      </c>
      <c r="B140" s="192" t="s">
        <v>55</v>
      </c>
      <c r="C140" s="146">
        <v>509.5</v>
      </c>
      <c r="D140" s="146">
        <v>335.8</v>
      </c>
      <c r="E140" s="146">
        <v>93</v>
      </c>
      <c r="F140" s="146">
        <v>80.7</v>
      </c>
      <c r="G140" s="146">
        <v>0</v>
      </c>
      <c r="H140" s="146">
        <v>0.5</v>
      </c>
      <c r="I140" s="146">
        <v>29</v>
      </c>
      <c r="J140" s="146">
        <v>11</v>
      </c>
      <c r="K140" s="146">
        <v>5</v>
      </c>
      <c r="L140" s="146">
        <v>0</v>
      </c>
      <c r="M140" s="146">
        <v>0</v>
      </c>
      <c r="N140" s="146">
        <v>0.7</v>
      </c>
      <c r="O140" s="146">
        <v>18</v>
      </c>
      <c r="P140" s="146">
        <v>1</v>
      </c>
      <c r="Q140" s="146">
        <v>1.5</v>
      </c>
      <c r="R140" s="146">
        <v>1</v>
      </c>
      <c r="S140" s="146">
        <v>10</v>
      </c>
      <c r="T140" s="147">
        <v>3</v>
      </c>
      <c r="U140" s="146">
        <v>0</v>
      </c>
      <c r="V140" s="148"/>
      <c r="W140" s="148"/>
    </row>
    <row r="141" spans="1:23">
      <c r="A141" s="145">
        <v>134</v>
      </c>
      <c r="B141" s="150" t="s">
        <v>440</v>
      </c>
      <c r="C141" s="149">
        <v>354</v>
      </c>
      <c r="D141" s="149">
        <v>278.7</v>
      </c>
      <c r="E141" s="149">
        <v>75.3</v>
      </c>
      <c r="F141" s="149">
        <v>0</v>
      </c>
      <c r="G141" s="149">
        <v>0</v>
      </c>
      <c r="H141" s="149">
        <v>0</v>
      </c>
      <c r="I141" s="149">
        <v>0</v>
      </c>
      <c r="J141" s="149">
        <v>0</v>
      </c>
      <c r="K141" s="149">
        <v>0</v>
      </c>
      <c r="L141" s="149">
        <v>0</v>
      </c>
      <c r="M141" s="149">
        <v>0</v>
      </c>
      <c r="N141" s="149">
        <v>0</v>
      </c>
      <c r="O141" s="149">
        <v>0</v>
      </c>
      <c r="P141" s="149">
        <v>0</v>
      </c>
      <c r="Q141" s="149">
        <v>0</v>
      </c>
      <c r="R141" s="149">
        <v>0</v>
      </c>
      <c r="S141" s="149">
        <v>0</v>
      </c>
      <c r="T141" s="149">
        <v>0</v>
      </c>
      <c r="U141" s="152"/>
      <c r="V141" s="148"/>
      <c r="W141" s="148"/>
    </row>
    <row r="142" spans="1:23">
      <c r="A142" s="145">
        <v>135</v>
      </c>
      <c r="B142" s="150" t="s">
        <v>441</v>
      </c>
      <c r="C142" s="149">
        <v>88.600000000000009</v>
      </c>
      <c r="D142" s="153">
        <v>6</v>
      </c>
      <c r="E142" s="149">
        <v>1.9</v>
      </c>
      <c r="F142" s="149">
        <v>80.7</v>
      </c>
      <c r="G142" s="154"/>
      <c r="H142" s="154">
        <v>0.5</v>
      </c>
      <c r="I142" s="154">
        <v>29</v>
      </c>
      <c r="J142" s="154">
        <v>11</v>
      </c>
      <c r="K142" s="154">
        <v>5</v>
      </c>
      <c r="L142" s="154"/>
      <c r="M142" s="154"/>
      <c r="N142" s="154">
        <v>0.7</v>
      </c>
      <c r="O142" s="154">
        <v>18</v>
      </c>
      <c r="P142" s="154">
        <v>1</v>
      </c>
      <c r="Q142" s="154">
        <v>1.5</v>
      </c>
      <c r="R142" s="149">
        <v>1</v>
      </c>
      <c r="S142" s="154">
        <v>10</v>
      </c>
      <c r="T142" s="156">
        <v>3</v>
      </c>
      <c r="U142" s="152"/>
      <c r="V142" s="148"/>
      <c r="W142" s="148"/>
    </row>
    <row r="143" spans="1:23">
      <c r="A143" s="145">
        <v>136</v>
      </c>
      <c r="B143" s="150" t="s">
        <v>442</v>
      </c>
      <c r="C143" s="149">
        <v>66.900000000000006</v>
      </c>
      <c r="D143" s="153">
        <v>51.1</v>
      </c>
      <c r="E143" s="149">
        <v>15.8</v>
      </c>
      <c r="F143" s="149">
        <v>0</v>
      </c>
      <c r="G143" s="154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49"/>
      <c r="S143" s="154"/>
      <c r="T143" s="156"/>
      <c r="U143" s="152"/>
      <c r="V143" s="148"/>
      <c r="W143" s="148"/>
    </row>
    <row r="144" spans="1:23">
      <c r="A144" s="145">
        <v>137</v>
      </c>
      <c r="B144" s="192" t="s">
        <v>56</v>
      </c>
      <c r="C144" s="146">
        <v>735.49999999999989</v>
      </c>
      <c r="D144" s="146">
        <v>471.09999999999997</v>
      </c>
      <c r="E144" s="146">
        <v>130.39999999999998</v>
      </c>
      <c r="F144" s="146">
        <v>134</v>
      </c>
      <c r="G144" s="146">
        <v>0</v>
      </c>
      <c r="H144" s="146">
        <v>0.4</v>
      </c>
      <c r="I144" s="146">
        <v>38</v>
      </c>
      <c r="J144" s="146">
        <v>9.5</v>
      </c>
      <c r="K144" s="146">
        <v>3.2</v>
      </c>
      <c r="L144" s="146">
        <v>0</v>
      </c>
      <c r="M144" s="146">
        <v>0</v>
      </c>
      <c r="N144" s="146">
        <v>10</v>
      </c>
      <c r="O144" s="146">
        <v>35.700000000000003</v>
      </c>
      <c r="P144" s="146">
        <v>2</v>
      </c>
      <c r="Q144" s="146">
        <v>3.3</v>
      </c>
      <c r="R144" s="146">
        <v>6</v>
      </c>
      <c r="S144" s="146">
        <v>18.899999999999999</v>
      </c>
      <c r="T144" s="147">
        <v>7</v>
      </c>
      <c r="U144" s="146">
        <v>0</v>
      </c>
      <c r="V144" s="148"/>
      <c r="W144" s="148"/>
    </row>
    <row r="145" spans="1:23">
      <c r="A145" s="145">
        <v>138</v>
      </c>
      <c r="B145" s="150" t="s">
        <v>440</v>
      </c>
      <c r="C145" s="149">
        <v>503.29999999999995</v>
      </c>
      <c r="D145" s="149">
        <v>396.2</v>
      </c>
      <c r="E145" s="149">
        <v>107.1</v>
      </c>
      <c r="F145" s="149">
        <v>0</v>
      </c>
      <c r="G145" s="149">
        <v>0</v>
      </c>
      <c r="H145" s="149">
        <v>0</v>
      </c>
      <c r="I145" s="149">
        <v>0</v>
      </c>
      <c r="J145" s="149">
        <v>0</v>
      </c>
      <c r="K145" s="149">
        <v>0</v>
      </c>
      <c r="L145" s="149">
        <v>0</v>
      </c>
      <c r="M145" s="149">
        <v>0</v>
      </c>
      <c r="N145" s="149">
        <v>0</v>
      </c>
      <c r="O145" s="149">
        <v>0</v>
      </c>
      <c r="P145" s="149">
        <v>0</v>
      </c>
      <c r="Q145" s="149">
        <v>0</v>
      </c>
      <c r="R145" s="149">
        <v>0</v>
      </c>
      <c r="S145" s="149">
        <v>0</v>
      </c>
      <c r="T145" s="149">
        <v>0</v>
      </c>
      <c r="U145" s="152"/>
      <c r="V145" s="148"/>
      <c r="W145" s="148"/>
    </row>
    <row r="146" spans="1:23">
      <c r="A146" s="145">
        <v>139</v>
      </c>
      <c r="B146" s="150" t="s">
        <v>441</v>
      </c>
      <c r="C146" s="149">
        <v>153.30000000000001</v>
      </c>
      <c r="D146" s="153">
        <v>14.7</v>
      </c>
      <c r="E146" s="149">
        <v>4.5999999999999996</v>
      </c>
      <c r="F146" s="149">
        <v>134</v>
      </c>
      <c r="G146" s="154"/>
      <c r="H146" s="154">
        <v>0.4</v>
      </c>
      <c r="I146" s="154">
        <v>38</v>
      </c>
      <c r="J146" s="154">
        <v>9.5</v>
      </c>
      <c r="K146" s="154">
        <v>3.2</v>
      </c>
      <c r="L146" s="154"/>
      <c r="M146" s="154"/>
      <c r="N146" s="154">
        <v>10</v>
      </c>
      <c r="O146" s="154">
        <v>35.700000000000003</v>
      </c>
      <c r="P146" s="154">
        <v>2</v>
      </c>
      <c r="Q146" s="154">
        <v>3.3</v>
      </c>
      <c r="R146" s="149">
        <v>6</v>
      </c>
      <c r="S146" s="154">
        <v>18.899999999999999</v>
      </c>
      <c r="T146" s="156">
        <v>7</v>
      </c>
      <c r="U146" s="152"/>
      <c r="V146" s="148"/>
      <c r="W146" s="148"/>
    </row>
    <row r="147" spans="1:23">
      <c r="A147" s="145">
        <v>140</v>
      </c>
      <c r="B147" s="150" t="s">
        <v>442</v>
      </c>
      <c r="C147" s="149">
        <v>78.900000000000006</v>
      </c>
      <c r="D147" s="153">
        <v>60.2</v>
      </c>
      <c r="E147" s="149">
        <v>18.700000000000003</v>
      </c>
      <c r="F147" s="149">
        <v>0</v>
      </c>
      <c r="G147" s="154"/>
      <c r="H147" s="154"/>
      <c r="I147" s="154"/>
      <c r="J147" s="154"/>
      <c r="K147" s="154"/>
      <c r="L147" s="154"/>
      <c r="M147" s="154"/>
      <c r="N147" s="154"/>
      <c r="O147" s="154"/>
      <c r="P147" s="154"/>
      <c r="Q147" s="154"/>
      <c r="R147" s="149"/>
      <c r="S147" s="154"/>
      <c r="T147" s="156"/>
      <c r="U147" s="152"/>
      <c r="V147" s="148"/>
      <c r="W147" s="148"/>
    </row>
    <row r="148" spans="1:23">
      <c r="A148" s="145">
        <v>141</v>
      </c>
      <c r="B148" s="192" t="s">
        <v>57</v>
      </c>
      <c r="C148" s="146">
        <v>2085.1999999999998</v>
      </c>
      <c r="D148" s="146">
        <v>1497.2</v>
      </c>
      <c r="E148" s="146">
        <v>408.3</v>
      </c>
      <c r="F148" s="146">
        <v>179.7</v>
      </c>
      <c r="G148" s="146">
        <v>0</v>
      </c>
      <c r="H148" s="146">
        <v>1.5</v>
      </c>
      <c r="I148" s="146">
        <v>50.5</v>
      </c>
      <c r="J148" s="146">
        <v>27.4</v>
      </c>
      <c r="K148" s="146">
        <v>3.5</v>
      </c>
      <c r="L148" s="146">
        <v>0</v>
      </c>
      <c r="M148" s="146">
        <v>0</v>
      </c>
      <c r="N148" s="146">
        <v>4.5</v>
      </c>
      <c r="O148" s="146">
        <v>31.7</v>
      </c>
      <c r="P148" s="146">
        <v>3</v>
      </c>
      <c r="Q148" s="146">
        <v>4</v>
      </c>
      <c r="R148" s="146">
        <v>0.6</v>
      </c>
      <c r="S148" s="146">
        <v>19.399999999999999</v>
      </c>
      <c r="T148" s="147">
        <v>33.6</v>
      </c>
      <c r="U148" s="146">
        <v>0</v>
      </c>
      <c r="V148" s="148"/>
      <c r="W148" s="148"/>
    </row>
    <row r="149" spans="1:23">
      <c r="A149" s="145">
        <v>142</v>
      </c>
      <c r="B149" s="150" t="s">
        <v>440</v>
      </c>
      <c r="C149" s="149">
        <v>1785.8</v>
      </c>
      <c r="D149" s="149">
        <v>1405.8</v>
      </c>
      <c r="E149" s="149">
        <v>380</v>
      </c>
      <c r="F149" s="149">
        <v>0</v>
      </c>
      <c r="G149" s="149">
        <v>0</v>
      </c>
      <c r="H149" s="149">
        <v>0</v>
      </c>
      <c r="I149" s="149">
        <v>0</v>
      </c>
      <c r="J149" s="149">
        <v>0</v>
      </c>
      <c r="K149" s="149">
        <v>0</v>
      </c>
      <c r="L149" s="149">
        <v>0</v>
      </c>
      <c r="M149" s="149">
        <v>0</v>
      </c>
      <c r="N149" s="149">
        <v>0</v>
      </c>
      <c r="O149" s="149">
        <v>0</v>
      </c>
      <c r="P149" s="149">
        <v>0</v>
      </c>
      <c r="Q149" s="149">
        <v>0</v>
      </c>
      <c r="R149" s="149">
        <v>0</v>
      </c>
      <c r="S149" s="149">
        <v>0</v>
      </c>
      <c r="T149" s="149">
        <v>0</v>
      </c>
      <c r="U149" s="152"/>
      <c r="V149" s="148"/>
      <c r="W149" s="148"/>
    </row>
    <row r="150" spans="1:23">
      <c r="A150" s="145">
        <v>143</v>
      </c>
      <c r="B150" s="150" t="s">
        <v>441</v>
      </c>
      <c r="C150" s="149">
        <v>179.7</v>
      </c>
      <c r="D150" s="153"/>
      <c r="E150" s="149">
        <v>0</v>
      </c>
      <c r="F150" s="149">
        <v>179.7</v>
      </c>
      <c r="G150" s="154"/>
      <c r="H150" s="154">
        <v>1.5</v>
      </c>
      <c r="I150" s="154">
        <v>50.5</v>
      </c>
      <c r="J150" s="154">
        <v>27.4</v>
      </c>
      <c r="K150" s="154">
        <v>3.5</v>
      </c>
      <c r="L150" s="154"/>
      <c r="M150" s="154"/>
      <c r="N150" s="154">
        <v>4.5</v>
      </c>
      <c r="O150" s="154">
        <v>31.7</v>
      </c>
      <c r="P150" s="154">
        <v>3</v>
      </c>
      <c r="Q150" s="154">
        <v>4</v>
      </c>
      <c r="R150" s="149">
        <v>0.6</v>
      </c>
      <c r="S150" s="154">
        <v>19.399999999999999</v>
      </c>
      <c r="T150" s="156">
        <v>33.6</v>
      </c>
      <c r="U150" s="152"/>
      <c r="V150" s="148"/>
      <c r="W150" s="148"/>
    </row>
    <row r="151" spans="1:23">
      <c r="A151" s="145">
        <v>144</v>
      </c>
      <c r="B151" s="150" t="s">
        <v>442</v>
      </c>
      <c r="C151" s="149">
        <v>119.7</v>
      </c>
      <c r="D151" s="153">
        <v>91.4</v>
      </c>
      <c r="E151" s="149">
        <v>28.3</v>
      </c>
      <c r="F151" s="149">
        <v>0</v>
      </c>
      <c r="G151" s="154"/>
      <c r="H151" s="154"/>
      <c r="I151" s="154"/>
      <c r="J151" s="154"/>
      <c r="K151" s="154"/>
      <c r="L151" s="154"/>
      <c r="M151" s="154"/>
      <c r="N151" s="154"/>
      <c r="O151" s="154"/>
      <c r="P151" s="154"/>
      <c r="Q151" s="154"/>
      <c r="R151" s="149"/>
      <c r="S151" s="154"/>
      <c r="T151" s="156"/>
      <c r="U151" s="152"/>
      <c r="V151" s="148"/>
      <c r="W151" s="148"/>
    </row>
    <row r="152" spans="1:23">
      <c r="A152" s="145">
        <v>145</v>
      </c>
      <c r="B152" s="192" t="s">
        <v>58</v>
      </c>
      <c r="C152" s="146">
        <v>1494.7000000000003</v>
      </c>
      <c r="D152" s="146">
        <v>795.69999999999993</v>
      </c>
      <c r="E152" s="146">
        <v>221.2</v>
      </c>
      <c r="F152" s="146">
        <v>477.79999999999995</v>
      </c>
      <c r="G152" s="146">
        <v>0</v>
      </c>
      <c r="H152" s="146">
        <v>0.7</v>
      </c>
      <c r="I152" s="146">
        <v>123.2</v>
      </c>
      <c r="J152" s="146">
        <v>145</v>
      </c>
      <c r="K152" s="146">
        <v>1.9</v>
      </c>
      <c r="L152" s="146">
        <v>18.399999999999999</v>
      </c>
      <c r="M152" s="146">
        <v>0</v>
      </c>
      <c r="N152" s="146">
        <v>0.4</v>
      </c>
      <c r="O152" s="146">
        <v>40.4</v>
      </c>
      <c r="P152" s="146">
        <v>1</v>
      </c>
      <c r="Q152" s="146">
        <v>8.8000000000000007</v>
      </c>
      <c r="R152" s="146">
        <v>0.7</v>
      </c>
      <c r="S152" s="146">
        <v>137.30000000000001</v>
      </c>
      <c r="T152" s="147">
        <v>0</v>
      </c>
      <c r="U152" s="146">
        <v>0</v>
      </c>
      <c r="V152" s="148"/>
      <c r="W152" s="148"/>
    </row>
    <row r="153" spans="1:23">
      <c r="A153" s="145">
        <v>146</v>
      </c>
      <c r="B153" s="150" t="s">
        <v>440</v>
      </c>
      <c r="C153" s="149">
        <v>1183.9000000000001</v>
      </c>
      <c r="D153" s="149">
        <v>682.8</v>
      </c>
      <c r="E153" s="149">
        <v>186.2</v>
      </c>
      <c r="F153" s="149">
        <v>314.89999999999998</v>
      </c>
      <c r="G153" s="149">
        <v>0</v>
      </c>
      <c r="H153" s="149">
        <v>0.7</v>
      </c>
      <c r="I153" s="149">
        <v>123.2</v>
      </c>
      <c r="J153" s="149">
        <v>130</v>
      </c>
      <c r="K153" s="149">
        <v>1.9</v>
      </c>
      <c r="L153" s="149">
        <v>18.399999999999999</v>
      </c>
      <c r="M153" s="149">
        <v>0</v>
      </c>
      <c r="N153" s="149">
        <v>0.4</v>
      </c>
      <c r="O153" s="149">
        <v>0.3</v>
      </c>
      <c r="P153" s="149">
        <v>1</v>
      </c>
      <c r="Q153" s="149">
        <v>8.8000000000000007</v>
      </c>
      <c r="R153" s="149">
        <v>0.7</v>
      </c>
      <c r="S153" s="149">
        <v>29.5</v>
      </c>
      <c r="T153" s="149">
        <v>0</v>
      </c>
      <c r="U153" s="149"/>
      <c r="V153" s="148"/>
      <c r="W153" s="148"/>
    </row>
    <row r="154" spans="1:23">
      <c r="A154" s="145">
        <v>147</v>
      </c>
      <c r="B154" s="150" t="s">
        <v>441</v>
      </c>
      <c r="C154" s="149">
        <v>162.9</v>
      </c>
      <c r="D154" s="153"/>
      <c r="E154" s="149">
        <v>0</v>
      </c>
      <c r="F154" s="149">
        <v>162.9</v>
      </c>
      <c r="G154" s="154"/>
      <c r="H154" s="154"/>
      <c r="I154" s="154"/>
      <c r="J154" s="154">
        <v>15</v>
      </c>
      <c r="K154" s="154"/>
      <c r="L154" s="154"/>
      <c r="M154" s="154"/>
      <c r="N154" s="154"/>
      <c r="O154" s="154">
        <v>40.1</v>
      </c>
      <c r="P154" s="154"/>
      <c r="Q154" s="154"/>
      <c r="R154" s="149"/>
      <c r="S154" s="154">
        <v>107.8</v>
      </c>
      <c r="T154" s="156"/>
      <c r="U154" s="152"/>
      <c r="V154" s="148"/>
      <c r="W154" s="148"/>
    </row>
    <row r="155" spans="1:23">
      <c r="A155" s="145">
        <v>148</v>
      </c>
      <c r="B155" s="150" t="s">
        <v>442</v>
      </c>
      <c r="C155" s="149">
        <v>147.9</v>
      </c>
      <c r="D155" s="153">
        <v>112.9</v>
      </c>
      <c r="E155" s="149">
        <v>35</v>
      </c>
      <c r="F155" s="149">
        <v>0</v>
      </c>
      <c r="G155" s="154"/>
      <c r="H155" s="154"/>
      <c r="I155" s="154"/>
      <c r="J155" s="154"/>
      <c r="K155" s="154"/>
      <c r="L155" s="154"/>
      <c r="M155" s="154"/>
      <c r="N155" s="154"/>
      <c r="O155" s="154"/>
      <c r="P155" s="154"/>
      <c r="Q155" s="154"/>
      <c r="R155" s="149"/>
      <c r="S155" s="154"/>
      <c r="T155" s="156"/>
      <c r="U155" s="152"/>
      <c r="V155" s="148"/>
      <c r="W155" s="148"/>
    </row>
    <row r="156" spans="1:23">
      <c r="A156" s="145">
        <v>149</v>
      </c>
      <c r="B156" s="192" t="s">
        <v>59</v>
      </c>
      <c r="C156" s="146">
        <v>610.19999999999993</v>
      </c>
      <c r="D156" s="146">
        <v>386.29999999999995</v>
      </c>
      <c r="E156" s="146">
        <v>111.80000000000001</v>
      </c>
      <c r="F156" s="146">
        <v>112.10000000000001</v>
      </c>
      <c r="G156" s="146">
        <v>0</v>
      </c>
      <c r="H156" s="146">
        <v>0</v>
      </c>
      <c r="I156" s="146">
        <v>14.5</v>
      </c>
      <c r="J156" s="146">
        <v>4.5</v>
      </c>
      <c r="K156" s="146">
        <v>3.9</v>
      </c>
      <c r="L156" s="146">
        <v>5</v>
      </c>
      <c r="M156" s="146">
        <v>0</v>
      </c>
      <c r="N156" s="146">
        <v>0.4</v>
      </c>
      <c r="O156" s="146">
        <v>14.9</v>
      </c>
      <c r="P156" s="146">
        <v>1.5</v>
      </c>
      <c r="Q156" s="146">
        <v>0.7</v>
      </c>
      <c r="R156" s="146">
        <v>16.8</v>
      </c>
      <c r="S156" s="146">
        <v>49.900000000000006</v>
      </c>
      <c r="T156" s="147">
        <v>0</v>
      </c>
      <c r="U156" s="146">
        <v>0</v>
      </c>
      <c r="V156" s="148"/>
      <c r="W156" s="148"/>
    </row>
    <row r="157" spans="1:23">
      <c r="A157" s="145">
        <v>150</v>
      </c>
      <c r="B157" s="150" t="s">
        <v>440</v>
      </c>
      <c r="C157" s="149">
        <v>292.09999999999997</v>
      </c>
      <c r="D157" s="149">
        <v>200.5</v>
      </c>
      <c r="E157" s="149">
        <v>54.2</v>
      </c>
      <c r="F157" s="149">
        <v>37.4</v>
      </c>
      <c r="G157" s="149">
        <v>0</v>
      </c>
      <c r="H157" s="149">
        <v>0</v>
      </c>
      <c r="I157" s="149">
        <v>11.5</v>
      </c>
      <c r="J157" s="149">
        <v>3.7</v>
      </c>
      <c r="K157" s="149">
        <v>2.9</v>
      </c>
      <c r="L157" s="149">
        <v>4</v>
      </c>
      <c r="M157" s="149">
        <v>0</v>
      </c>
      <c r="N157" s="149">
        <v>0.4</v>
      </c>
      <c r="O157" s="149">
        <v>6.9</v>
      </c>
      <c r="P157" s="149">
        <v>1</v>
      </c>
      <c r="Q157" s="149">
        <v>0.4</v>
      </c>
      <c r="R157" s="149">
        <v>0.2</v>
      </c>
      <c r="S157" s="149">
        <v>6.4</v>
      </c>
      <c r="T157" s="149">
        <v>0</v>
      </c>
      <c r="U157" s="152"/>
      <c r="V157" s="148"/>
      <c r="W157" s="148"/>
    </row>
    <row r="158" spans="1:23">
      <c r="A158" s="145">
        <v>151</v>
      </c>
      <c r="B158" s="150" t="s">
        <v>441</v>
      </c>
      <c r="C158" s="149">
        <v>48.5</v>
      </c>
      <c r="D158" s="153"/>
      <c r="E158" s="149">
        <v>0</v>
      </c>
      <c r="F158" s="149">
        <v>48.5</v>
      </c>
      <c r="G158" s="154"/>
      <c r="H158" s="154"/>
      <c r="I158" s="154">
        <v>3</v>
      </c>
      <c r="J158" s="154">
        <v>0.8</v>
      </c>
      <c r="K158" s="154">
        <v>1</v>
      </c>
      <c r="L158" s="154">
        <v>1</v>
      </c>
      <c r="M158" s="154"/>
      <c r="N158" s="154"/>
      <c r="O158" s="154">
        <v>8</v>
      </c>
      <c r="P158" s="154">
        <v>0.5</v>
      </c>
      <c r="Q158" s="154">
        <v>0.3</v>
      </c>
      <c r="R158" s="149">
        <v>16.600000000000001</v>
      </c>
      <c r="S158" s="154">
        <v>17.3</v>
      </c>
      <c r="T158" s="156"/>
      <c r="U158" s="152"/>
      <c r="V158" s="148"/>
      <c r="W158" s="148"/>
    </row>
    <row r="159" spans="1:23">
      <c r="A159" s="145">
        <v>152</v>
      </c>
      <c r="B159" s="150" t="s">
        <v>442</v>
      </c>
      <c r="C159" s="149">
        <v>269.59999999999997</v>
      </c>
      <c r="D159" s="153">
        <v>185.79999999999998</v>
      </c>
      <c r="E159" s="149">
        <v>57.6</v>
      </c>
      <c r="F159" s="149">
        <v>26.2</v>
      </c>
      <c r="G159" s="154"/>
      <c r="H159" s="154"/>
      <c r="I159" s="154"/>
      <c r="J159" s="154"/>
      <c r="K159" s="154"/>
      <c r="L159" s="154"/>
      <c r="M159" s="154"/>
      <c r="N159" s="154"/>
      <c r="O159" s="154"/>
      <c r="P159" s="154"/>
      <c r="Q159" s="154"/>
      <c r="R159" s="149"/>
      <c r="S159" s="154">
        <v>26.2</v>
      </c>
      <c r="T159" s="156"/>
      <c r="U159" s="152"/>
      <c r="V159" s="148"/>
      <c r="W159" s="148"/>
    </row>
    <row r="160" spans="1:23">
      <c r="A160" s="145">
        <v>153</v>
      </c>
      <c r="B160" s="194" t="s">
        <v>462</v>
      </c>
      <c r="C160" s="155">
        <v>49949.799999999996</v>
      </c>
      <c r="D160" s="155">
        <v>33259.999999999993</v>
      </c>
      <c r="E160" s="155">
        <v>9958.1</v>
      </c>
      <c r="F160" s="155">
        <v>6731.7000000000007</v>
      </c>
      <c r="G160" s="155">
        <v>198</v>
      </c>
      <c r="H160" s="155">
        <v>15.999999999999998</v>
      </c>
      <c r="I160" s="155">
        <v>2183.1999999999998</v>
      </c>
      <c r="J160" s="155">
        <v>1064.8000000000002</v>
      </c>
      <c r="K160" s="155">
        <v>108.6</v>
      </c>
      <c r="L160" s="155">
        <v>468.70000000000005</v>
      </c>
      <c r="M160" s="155">
        <v>4.5</v>
      </c>
      <c r="N160" s="155">
        <v>500.6</v>
      </c>
      <c r="O160" s="155">
        <v>601.29999999999995</v>
      </c>
      <c r="P160" s="155">
        <v>23.299999999999997</v>
      </c>
      <c r="Q160" s="155">
        <v>152.19999999999999</v>
      </c>
      <c r="R160" s="155">
        <v>216.09999999999997</v>
      </c>
      <c r="S160" s="155">
        <v>933.30000000000007</v>
      </c>
      <c r="T160" s="155">
        <v>261.10000000000002</v>
      </c>
      <c r="U160" s="155">
        <v>0</v>
      </c>
      <c r="V160" s="148"/>
      <c r="W160" s="148"/>
    </row>
    <row r="161" spans="1:23">
      <c r="A161" s="145">
        <v>154</v>
      </c>
      <c r="B161" s="193" t="s">
        <v>440</v>
      </c>
      <c r="C161" s="155">
        <v>15067.2</v>
      </c>
      <c r="D161" s="155">
        <v>8812.7999999999956</v>
      </c>
      <c r="E161" s="155">
        <v>2383.9</v>
      </c>
      <c r="F161" s="155">
        <v>3870.5</v>
      </c>
      <c r="G161" s="155">
        <v>0</v>
      </c>
      <c r="H161" s="155">
        <v>10.599999999999998</v>
      </c>
      <c r="I161" s="155">
        <v>1701.9</v>
      </c>
      <c r="J161" s="155">
        <v>758.10000000000014</v>
      </c>
      <c r="K161" s="155">
        <v>77.899999999999991</v>
      </c>
      <c r="L161" s="155">
        <v>329.3</v>
      </c>
      <c r="M161" s="155">
        <v>0.5</v>
      </c>
      <c r="N161" s="155">
        <v>9.0000000000000018</v>
      </c>
      <c r="O161" s="155">
        <v>264.39999999999998</v>
      </c>
      <c r="P161" s="155">
        <v>16.399999999999999</v>
      </c>
      <c r="Q161" s="155">
        <v>101.3</v>
      </c>
      <c r="R161" s="155">
        <v>7.700000000000002</v>
      </c>
      <c r="S161" s="155">
        <v>423.40000000000003</v>
      </c>
      <c r="T161" s="155">
        <v>170</v>
      </c>
      <c r="U161" s="155">
        <v>0</v>
      </c>
      <c r="V161" s="148"/>
      <c r="W161" s="148"/>
    </row>
    <row r="162" spans="1:23">
      <c r="A162" s="145">
        <v>155</v>
      </c>
      <c r="B162" s="197" t="s">
        <v>441</v>
      </c>
      <c r="C162" s="155">
        <v>1605.3000000000004</v>
      </c>
      <c r="D162" s="155">
        <v>69.2</v>
      </c>
      <c r="E162" s="155">
        <v>21.6</v>
      </c>
      <c r="F162" s="155">
        <v>1514.5000000000002</v>
      </c>
      <c r="G162" s="155">
        <v>78</v>
      </c>
      <c r="H162" s="155">
        <v>2.4</v>
      </c>
      <c r="I162" s="155">
        <v>268.10000000000002</v>
      </c>
      <c r="J162" s="155">
        <v>262.70000000000005</v>
      </c>
      <c r="K162" s="155">
        <v>21.7</v>
      </c>
      <c r="L162" s="155">
        <v>109.4</v>
      </c>
      <c r="M162" s="155">
        <v>1</v>
      </c>
      <c r="N162" s="155">
        <v>15.399999999999999</v>
      </c>
      <c r="O162" s="155">
        <v>331.9</v>
      </c>
      <c r="P162" s="155">
        <v>6.5</v>
      </c>
      <c r="Q162" s="155">
        <v>37.900000000000006</v>
      </c>
      <c r="R162" s="155">
        <v>26.200000000000003</v>
      </c>
      <c r="S162" s="155">
        <v>274.2</v>
      </c>
      <c r="T162" s="155">
        <v>79.100000000000009</v>
      </c>
      <c r="U162" s="155">
        <v>0</v>
      </c>
      <c r="V162" s="148"/>
      <c r="W162" s="148"/>
    </row>
    <row r="163" spans="1:23">
      <c r="A163" s="145">
        <v>156</v>
      </c>
      <c r="B163" s="197" t="s">
        <v>442</v>
      </c>
      <c r="C163" s="155">
        <v>31440.6</v>
      </c>
      <c r="D163" s="155">
        <v>23326.999999999996</v>
      </c>
      <c r="E163" s="155">
        <v>7227</v>
      </c>
      <c r="F163" s="155">
        <v>886.59999999999991</v>
      </c>
      <c r="G163" s="155">
        <v>0</v>
      </c>
      <c r="H163" s="155">
        <v>0</v>
      </c>
      <c r="I163" s="155">
        <v>0</v>
      </c>
      <c r="J163" s="155">
        <v>0</v>
      </c>
      <c r="K163" s="155">
        <v>0</v>
      </c>
      <c r="L163" s="155">
        <v>0</v>
      </c>
      <c r="M163" s="155">
        <v>0</v>
      </c>
      <c r="N163" s="155">
        <v>474.20000000000005</v>
      </c>
      <c r="O163" s="155">
        <v>0</v>
      </c>
      <c r="P163" s="155">
        <v>0</v>
      </c>
      <c r="Q163" s="155">
        <v>0</v>
      </c>
      <c r="R163" s="155">
        <v>180.19999999999996</v>
      </c>
      <c r="S163" s="155">
        <v>220.20000000000002</v>
      </c>
      <c r="T163" s="155">
        <v>12</v>
      </c>
      <c r="U163" s="155">
        <v>0</v>
      </c>
      <c r="V163" s="148"/>
      <c r="W163" s="148"/>
    </row>
    <row r="164" spans="1:23" ht="24">
      <c r="A164" s="145">
        <v>157</v>
      </c>
      <c r="B164" s="198" t="s">
        <v>495</v>
      </c>
      <c r="C164" s="155">
        <v>1836.6999999999998</v>
      </c>
      <c r="D164" s="155">
        <v>1051</v>
      </c>
      <c r="E164" s="155">
        <v>325.60000000000002</v>
      </c>
      <c r="F164" s="155">
        <v>460.09999999999997</v>
      </c>
      <c r="G164" s="155">
        <v>120</v>
      </c>
      <c r="H164" s="155">
        <v>3</v>
      </c>
      <c r="I164" s="155">
        <v>213.2</v>
      </c>
      <c r="J164" s="155">
        <v>44</v>
      </c>
      <c r="K164" s="155">
        <v>9</v>
      </c>
      <c r="L164" s="155">
        <v>30</v>
      </c>
      <c r="M164" s="155">
        <v>3</v>
      </c>
      <c r="N164" s="155">
        <v>2</v>
      </c>
      <c r="O164" s="155">
        <v>5</v>
      </c>
      <c r="P164" s="155">
        <v>0.4</v>
      </c>
      <c r="Q164" s="155">
        <v>13</v>
      </c>
      <c r="R164" s="155">
        <v>2</v>
      </c>
      <c r="S164" s="155">
        <v>15.5</v>
      </c>
      <c r="T164" s="155">
        <v>0</v>
      </c>
      <c r="U164" s="155">
        <v>0</v>
      </c>
      <c r="V164" s="148"/>
      <c r="W164" s="148"/>
    </row>
    <row r="165" spans="1:23">
      <c r="A165" s="145">
        <v>158</v>
      </c>
      <c r="B165" s="192" t="s">
        <v>61</v>
      </c>
      <c r="C165" s="146">
        <v>1216.9000000000001</v>
      </c>
      <c r="D165" s="146">
        <v>629.6</v>
      </c>
      <c r="E165" s="146">
        <v>171.20000000000002</v>
      </c>
      <c r="F165" s="146">
        <v>416.1</v>
      </c>
      <c r="G165" s="146">
        <v>0</v>
      </c>
      <c r="H165" s="146">
        <v>0</v>
      </c>
      <c r="I165" s="146">
        <v>74.5</v>
      </c>
      <c r="J165" s="146">
        <v>29.5</v>
      </c>
      <c r="K165" s="146">
        <v>12.5</v>
      </c>
      <c r="L165" s="146">
        <v>23.3</v>
      </c>
      <c r="M165" s="146">
        <v>0</v>
      </c>
      <c r="N165" s="146">
        <v>1.5</v>
      </c>
      <c r="O165" s="146">
        <v>36.200000000000003</v>
      </c>
      <c r="P165" s="146">
        <v>0.8</v>
      </c>
      <c r="Q165" s="146">
        <v>1.3</v>
      </c>
      <c r="R165" s="146">
        <v>0.7</v>
      </c>
      <c r="S165" s="146">
        <v>113.8</v>
      </c>
      <c r="T165" s="147">
        <v>122</v>
      </c>
      <c r="U165" s="146">
        <v>0</v>
      </c>
      <c r="V165" s="148"/>
      <c r="W165" s="148"/>
    </row>
    <row r="166" spans="1:23">
      <c r="A166" s="145">
        <v>159</v>
      </c>
      <c r="B166" s="150" t="s">
        <v>440</v>
      </c>
      <c r="C166" s="149">
        <v>1123.5</v>
      </c>
      <c r="D166" s="149">
        <v>604.4</v>
      </c>
      <c r="E166" s="149">
        <v>163.4</v>
      </c>
      <c r="F166" s="149">
        <v>355.70000000000005</v>
      </c>
      <c r="G166" s="149">
        <v>0</v>
      </c>
      <c r="H166" s="149">
        <v>0</v>
      </c>
      <c r="I166" s="149">
        <v>72.5</v>
      </c>
      <c r="J166" s="149">
        <v>25.5</v>
      </c>
      <c r="K166" s="149">
        <v>8.5</v>
      </c>
      <c r="L166" s="149">
        <v>19.3</v>
      </c>
      <c r="M166" s="149">
        <v>0</v>
      </c>
      <c r="N166" s="149">
        <v>1.2</v>
      </c>
      <c r="O166" s="149">
        <v>17.8</v>
      </c>
      <c r="P166" s="149">
        <v>0.8</v>
      </c>
      <c r="Q166" s="149">
        <v>0.9</v>
      </c>
      <c r="R166" s="149">
        <v>0.7</v>
      </c>
      <c r="S166" s="149">
        <v>88.5</v>
      </c>
      <c r="T166" s="149">
        <v>120</v>
      </c>
      <c r="U166" s="152"/>
      <c r="V166" s="148"/>
      <c r="W166" s="148"/>
    </row>
    <row r="167" spans="1:23">
      <c r="A167" s="145">
        <v>160</v>
      </c>
      <c r="B167" s="150" t="s">
        <v>441</v>
      </c>
      <c r="C167" s="149">
        <v>93.4</v>
      </c>
      <c r="D167" s="153">
        <v>25.2</v>
      </c>
      <c r="E167" s="149">
        <v>7.8</v>
      </c>
      <c r="F167" s="149">
        <v>60.400000000000006</v>
      </c>
      <c r="G167" s="154"/>
      <c r="H167" s="154"/>
      <c r="I167" s="154">
        <v>2</v>
      </c>
      <c r="J167" s="154">
        <v>4</v>
      </c>
      <c r="K167" s="154">
        <v>4</v>
      </c>
      <c r="L167" s="154">
        <v>4</v>
      </c>
      <c r="M167" s="154"/>
      <c r="N167" s="154">
        <v>0.3</v>
      </c>
      <c r="O167" s="154">
        <v>18.399999999999999</v>
      </c>
      <c r="P167" s="154"/>
      <c r="Q167" s="154">
        <v>0.4</v>
      </c>
      <c r="R167" s="149"/>
      <c r="S167" s="154">
        <v>25.3</v>
      </c>
      <c r="T167" s="156">
        <v>2</v>
      </c>
      <c r="U167" s="152"/>
      <c r="V167" s="148"/>
      <c r="W167" s="148"/>
    </row>
    <row r="168" spans="1:23">
      <c r="A168" s="145">
        <v>161</v>
      </c>
      <c r="B168" s="192" t="s">
        <v>62</v>
      </c>
      <c r="C168" s="146">
        <v>262.90000000000003</v>
      </c>
      <c r="D168" s="146">
        <v>189.4</v>
      </c>
      <c r="E168" s="146">
        <v>51.2</v>
      </c>
      <c r="F168" s="146">
        <v>22.300000000000004</v>
      </c>
      <c r="G168" s="146">
        <v>0</v>
      </c>
      <c r="H168" s="146">
        <v>0</v>
      </c>
      <c r="I168" s="146">
        <v>1.4</v>
      </c>
      <c r="J168" s="146">
        <v>1.2</v>
      </c>
      <c r="K168" s="146">
        <v>1.2</v>
      </c>
      <c r="L168" s="146">
        <v>0</v>
      </c>
      <c r="M168" s="146">
        <v>0</v>
      </c>
      <c r="N168" s="146">
        <v>0.7</v>
      </c>
      <c r="O168" s="146">
        <v>4.8000000000000007</v>
      </c>
      <c r="P168" s="146">
        <v>0.4</v>
      </c>
      <c r="Q168" s="146">
        <v>0.1</v>
      </c>
      <c r="R168" s="146">
        <v>0.2</v>
      </c>
      <c r="S168" s="146">
        <v>12.3</v>
      </c>
      <c r="T168" s="147">
        <v>0</v>
      </c>
      <c r="U168" s="146">
        <v>0</v>
      </c>
      <c r="V168" s="148"/>
      <c r="W168" s="148"/>
    </row>
    <row r="169" spans="1:23">
      <c r="A169" s="145">
        <v>162</v>
      </c>
      <c r="B169" s="150" t="s">
        <v>440</v>
      </c>
      <c r="C169" s="149">
        <v>260.8</v>
      </c>
      <c r="D169" s="149">
        <v>189.4</v>
      </c>
      <c r="E169" s="149">
        <v>51.2</v>
      </c>
      <c r="F169" s="149">
        <v>20.200000000000003</v>
      </c>
      <c r="G169" s="149">
        <v>0</v>
      </c>
      <c r="H169" s="149">
        <v>0</v>
      </c>
      <c r="I169" s="149">
        <v>1.4</v>
      </c>
      <c r="J169" s="149">
        <v>1.2</v>
      </c>
      <c r="K169" s="149">
        <v>1.2</v>
      </c>
      <c r="L169" s="149">
        <v>0</v>
      </c>
      <c r="M169" s="149">
        <v>0</v>
      </c>
      <c r="N169" s="149">
        <v>0.7</v>
      </c>
      <c r="O169" s="149">
        <v>2.7</v>
      </c>
      <c r="P169" s="149">
        <v>0.4</v>
      </c>
      <c r="Q169" s="149">
        <v>0.1</v>
      </c>
      <c r="R169" s="149">
        <v>0.2</v>
      </c>
      <c r="S169" s="149">
        <v>12.3</v>
      </c>
      <c r="T169" s="149">
        <v>0</v>
      </c>
      <c r="U169" s="152"/>
      <c r="V169" s="148"/>
      <c r="W169" s="148"/>
    </row>
    <row r="170" spans="1:23">
      <c r="A170" s="145">
        <v>163</v>
      </c>
      <c r="B170" s="150" t="s">
        <v>441</v>
      </c>
      <c r="C170" s="149">
        <v>2.1</v>
      </c>
      <c r="D170" s="153"/>
      <c r="E170" s="149">
        <v>0</v>
      </c>
      <c r="F170" s="149">
        <v>2.1</v>
      </c>
      <c r="G170" s="154"/>
      <c r="H170" s="154"/>
      <c r="I170" s="154"/>
      <c r="J170" s="154"/>
      <c r="K170" s="154"/>
      <c r="L170" s="154"/>
      <c r="M170" s="154"/>
      <c r="N170" s="154"/>
      <c r="O170" s="154">
        <v>2.1</v>
      </c>
      <c r="P170" s="154"/>
      <c r="Q170" s="154"/>
      <c r="R170" s="149"/>
      <c r="S170" s="154"/>
      <c r="T170" s="156"/>
      <c r="U170" s="152"/>
      <c r="V170" s="148"/>
      <c r="W170" s="148"/>
    </row>
    <row r="171" spans="1:23">
      <c r="A171" s="145">
        <v>164</v>
      </c>
      <c r="B171" s="192" t="s">
        <v>63</v>
      </c>
      <c r="C171" s="146">
        <v>167.79999999999998</v>
      </c>
      <c r="D171" s="146">
        <v>113.5</v>
      </c>
      <c r="E171" s="146">
        <v>30.7</v>
      </c>
      <c r="F171" s="146">
        <v>23.599999999999998</v>
      </c>
      <c r="G171" s="146">
        <v>0</v>
      </c>
      <c r="H171" s="146">
        <v>0</v>
      </c>
      <c r="I171" s="146">
        <v>3.7</v>
      </c>
      <c r="J171" s="146">
        <v>2.8</v>
      </c>
      <c r="K171" s="146">
        <v>0.9</v>
      </c>
      <c r="L171" s="146">
        <v>0</v>
      </c>
      <c r="M171" s="146">
        <v>0</v>
      </c>
      <c r="N171" s="146">
        <v>0.5</v>
      </c>
      <c r="O171" s="146">
        <v>4.5</v>
      </c>
      <c r="P171" s="146">
        <v>0.2</v>
      </c>
      <c r="Q171" s="146">
        <v>0.1</v>
      </c>
      <c r="R171" s="146">
        <v>0.1</v>
      </c>
      <c r="S171" s="146">
        <v>10.799999999999999</v>
      </c>
      <c r="T171" s="147">
        <v>0</v>
      </c>
      <c r="U171" s="146">
        <v>0</v>
      </c>
      <c r="V171" s="148"/>
      <c r="W171" s="148"/>
    </row>
    <row r="172" spans="1:23">
      <c r="A172" s="145">
        <v>165</v>
      </c>
      <c r="B172" s="150" t="s">
        <v>440</v>
      </c>
      <c r="C172" s="149">
        <v>163.6</v>
      </c>
      <c r="D172" s="149">
        <v>113.5</v>
      </c>
      <c r="E172" s="149">
        <v>30.7</v>
      </c>
      <c r="F172" s="149">
        <v>19.399999999999999</v>
      </c>
      <c r="G172" s="149">
        <v>0</v>
      </c>
      <c r="H172" s="149">
        <v>0</v>
      </c>
      <c r="I172" s="149">
        <v>3.7</v>
      </c>
      <c r="J172" s="149">
        <v>2.8</v>
      </c>
      <c r="K172" s="149">
        <v>0.9</v>
      </c>
      <c r="L172" s="149">
        <v>0</v>
      </c>
      <c r="M172" s="149">
        <v>0</v>
      </c>
      <c r="N172" s="149">
        <v>0.5</v>
      </c>
      <c r="O172" s="149">
        <v>2.2999999999999998</v>
      </c>
      <c r="P172" s="149">
        <v>0.2</v>
      </c>
      <c r="Q172" s="149">
        <v>0.1</v>
      </c>
      <c r="R172" s="149">
        <v>0.1</v>
      </c>
      <c r="S172" s="149">
        <v>8.7999999999999989</v>
      </c>
      <c r="T172" s="149">
        <v>0</v>
      </c>
      <c r="U172" s="152"/>
      <c r="V172" s="148"/>
      <c r="W172" s="148"/>
    </row>
    <row r="173" spans="1:23">
      <c r="A173" s="145">
        <v>166</v>
      </c>
      <c r="B173" s="150" t="s">
        <v>441</v>
      </c>
      <c r="C173" s="149">
        <v>4.2</v>
      </c>
      <c r="D173" s="153"/>
      <c r="E173" s="149">
        <v>0</v>
      </c>
      <c r="F173" s="149">
        <v>4.2</v>
      </c>
      <c r="G173" s="154"/>
      <c r="H173" s="154"/>
      <c r="I173" s="154"/>
      <c r="J173" s="154"/>
      <c r="K173" s="154"/>
      <c r="L173" s="154"/>
      <c r="M173" s="154"/>
      <c r="N173" s="154"/>
      <c r="O173" s="154">
        <v>2.2000000000000002</v>
      </c>
      <c r="P173" s="154"/>
      <c r="Q173" s="154"/>
      <c r="R173" s="149"/>
      <c r="S173" s="154">
        <v>2</v>
      </c>
      <c r="T173" s="156"/>
      <c r="U173" s="152"/>
      <c r="V173" s="148"/>
      <c r="W173" s="148"/>
    </row>
    <row r="174" spans="1:23">
      <c r="A174" s="145">
        <v>167</v>
      </c>
      <c r="B174" s="192" t="s">
        <v>64</v>
      </c>
      <c r="C174" s="146">
        <v>194.6</v>
      </c>
      <c r="D174" s="146">
        <v>124.1</v>
      </c>
      <c r="E174" s="146">
        <v>33.5</v>
      </c>
      <c r="F174" s="146">
        <v>37</v>
      </c>
      <c r="G174" s="146">
        <v>0</v>
      </c>
      <c r="H174" s="146">
        <v>0</v>
      </c>
      <c r="I174" s="146">
        <v>6</v>
      </c>
      <c r="J174" s="146">
        <v>13.9</v>
      </c>
      <c r="K174" s="146">
        <v>0.9</v>
      </c>
      <c r="L174" s="146">
        <v>0</v>
      </c>
      <c r="M174" s="146">
        <v>0</v>
      </c>
      <c r="N174" s="146">
        <v>0.5</v>
      </c>
      <c r="O174" s="146">
        <v>2.2999999999999998</v>
      </c>
      <c r="P174" s="146">
        <v>0.3</v>
      </c>
      <c r="Q174" s="146">
        <v>0.2</v>
      </c>
      <c r="R174" s="146">
        <v>0.1</v>
      </c>
      <c r="S174" s="146">
        <v>12.8</v>
      </c>
      <c r="T174" s="147">
        <v>0</v>
      </c>
      <c r="U174" s="146">
        <v>0</v>
      </c>
      <c r="V174" s="148"/>
      <c r="W174" s="148"/>
    </row>
    <row r="175" spans="1:23">
      <c r="A175" s="145">
        <v>168</v>
      </c>
      <c r="B175" s="150" t="s">
        <v>440</v>
      </c>
      <c r="C175" s="149">
        <v>191.2</v>
      </c>
      <c r="D175" s="149">
        <v>124.1</v>
      </c>
      <c r="E175" s="149">
        <v>33.5</v>
      </c>
      <c r="F175" s="149">
        <v>33.6</v>
      </c>
      <c r="G175" s="149">
        <v>0</v>
      </c>
      <c r="H175" s="149">
        <v>0</v>
      </c>
      <c r="I175" s="149">
        <v>6</v>
      </c>
      <c r="J175" s="149">
        <v>13.9</v>
      </c>
      <c r="K175" s="149">
        <v>0.9</v>
      </c>
      <c r="L175" s="149">
        <v>0</v>
      </c>
      <c r="M175" s="149">
        <v>0</v>
      </c>
      <c r="N175" s="149">
        <v>0.5</v>
      </c>
      <c r="O175" s="149">
        <v>2.2999999999999998</v>
      </c>
      <c r="P175" s="149">
        <v>0.3</v>
      </c>
      <c r="Q175" s="149">
        <v>0.2</v>
      </c>
      <c r="R175" s="149">
        <v>0.1</v>
      </c>
      <c r="S175" s="149">
        <v>9.4</v>
      </c>
      <c r="T175" s="149">
        <v>0</v>
      </c>
      <c r="U175" s="152"/>
      <c r="V175" s="148"/>
      <c r="W175" s="148"/>
    </row>
    <row r="176" spans="1:23">
      <c r="A176" s="145">
        <v>169</v>
      </c>
      <c r="B176" s="150" t="s">
        <v>441</v>
      </c>
      <c r="C176" s="149">
        <v>3.4</v>
      </c>
      <c r="D176" s="153"/>
      <c r="E176" s="149">
        <v>0</v>
      </c>
      <c r="F176" s="149">
        <v>3.4</v>
      </c>
      <c r="G176" s="164"/>
      <c r="H176" s="164"/>
      <c r="I176" s="153"/>
      <c r="J176" s="153"/>
      <c r="K176" s="153"/>
      <c r="L176" s="153"/>
      <c r="M176" s="153"/>
      <c r="N176" s="153"/>
      <c r="O176" s="153"/>
      <c r="P176" s="153"/>
      <c r="Q176" s="153"/>
      <c r="R176" s="149"/>
      <c r="S176" s="153">
        <v>3.4</v>
      </c>
      <c r="T176" s="165"/>
      <c r="U176" s="152"/>
      <c r="V176" s="148"/>
      <c r="W176" s="148"/>
    </row>
    <row r="177" spans="1:23">
      <c r="A177" s="145">
        <v>170</v>
      </c>
      <c r="B177" s="192" t="s">
        <v>65</v>
      </c>
      <c r="C177" s="146">
        <v>130.1</v>
      </c>
      <c r="D177" s="146">
        <v>91</v>
      </c>
      <c r="E177" s="146">
        <v>24.6</v>
      </c>
      <c r="F177" s="146">
        <v>14.5</v>
      </c>
      <c r="G177" s="146">
        <v>0</v>
      </c>
      <c r="H177" s="146">
        <v>0</v>
      </c>
      <c r="I177" s="146">
        <v>0</v>
      </c>
      <c r="J177" s="146">
        <v>0</v>
      </c>
      <c r="K177" s="146">
        <v>0.9</v>
      </c>
      <c r="L177" s="146">
        <v>0</v>
      </c>
      <c r="M177" s="146">
        <v>0</v>
      </c>
      <c r="N177" s="146">
        <v>0.5</v>
      </c>
      <c r="O177" s="146">
        <v>3.3</v>
      </c>
      <c r="P177" s="146">
        <v>0.3</v>
      </c>
      <c r="Q177" s="146">
        <v>0</v>
      </c>
      <c r="R177" s="146">
        <v>0.1</v>
      </c>
      <c r="S177" s="146">
        <v>9.4</v>
      </c>
      <c r="T177" s="147">
        <v>0</v>
      </c>
      <c r="U177" s="146">
        <v>0</v>
      </c>
      <c r="V177" s="148"/>
      <c r="W177" s="148"/>
    </row>
    <row r="178" spans="1:23">
      <c r="A178" s="145">
        <v>171</v>
      </c>
      <c r="B178" s="150" t="s">
        <v>440</v>
      </c>
      <c r="C178" s="149">
        <v>127.1</v>
      </c>
      <c r="D178" s="149">
        <v>91</v>
      </c>
      <c r="E178" s="149">
        <v>24.6</v>
      </c>
      <c r="F178" s="149">
        <v>11.5</v>
      </c>
      <c r="G178" s="149">
        <v>0</v>
      </c>
      <c r="H178" s="149">
        <v>0</v>
      </c>
      <c r="I178" s="149">
        <v>0</v>
      </c>
      <c r="J178" s="149">
        <v>0</v>
      </c>
      <c r="K178" s="149">
        <v>0.9</v>
      </c>
      <c r="L178" s="149">
        <v>0</v>
      </c>
      <c r="M178" s="149">
        <v>0</v>
      </c>
      <c r="N178" s="149">
        <v>0.5</v>
      </c>
      <c r="O178" s="149">
        <v>2.2999999999999998</v>
      </c>
      <c r="P178" s="149">
        <v>0.3</v>
      </c>
      <c r="Q178" s="149">
        <v>0</v>
      </c>
      <c r="R178" s="149">
        <v>0.1</v>
      </c>
      <c r="S178" s="149">
        <v>7.4</v>
      </c>
      <c r="T178" s="149">
        <v>0</v>
      </c>
      <c r="U178" s="152"/>
      <c r="V178" s="148"/>
      <c r="W178" s="148"/>
    </row>
    <row r="179" spans="1:23">
      <c r="A179" s="145">
        <v>172</v>
      </c>
      <c r="B179" s="150" t="s">
        <v>441</v>
      </c>
      <c r="C179" s="149">
        <v>3</v>
      </c>
      <c r="D179" s="153"/>
      <c r="E179" s="149">
        <v>0</v>
      </c>
      <c r="F179" s="149">
        <v>3</v>
      </c>
      <c r="G179" s="154"/>
      <c r="H179" s="154"/>
      <c r="I179" s="154"/>
      <c r="J179" s="154"/>
      <c r="K179" s="154"/>
      <c r="L179" s="154"/>
      <c r="M179" s="154"/>
      <c r="N179" s="154"/>
      <c r="O179" s="154">
        <v>1</v>
      </c>
      <c r="P179" s="154"/>
      <c r="Q179" s="154"/>
      <c r="R179" s="149"/>
      <c r="S179" s="154">
        <v>2</v>
      </c>
      <c r="T179" s="156"/>
      <c r="U179" s="152"/>
      <c r="V179" s="148"/>
      <c r="W179" s="148"/>
    </row>
    <row r="180" spans="1:23">
      <c r="A180" s="145">
        <v>173</v>
      </c>
      <c r="B180" s="192" t="s">
        <v>66</v>
      </c>
      <c r="C180" s="146">
        <v>124.7</v>
      </c>
      <c r="D180" s="146">
        <v>84</v>
      </c>
      <c r="E180" s="146">
        <v>22.7</v>
      </c>
      <c r="F180" s="146">
        <v>18</v>
      </c>
      <c r="G180" s="146">
        <v>0</v>
      </c>
      <c r="H180" s="146">
        <v>0</v>
      </c>
      <c r="I180" s="146">
        <v>2.7</v>
      </c>
      <c r="J180" s="146">
        <v>5</v>
      </c>
      <c r="K180" s="146">
        <v>0.6</v>
      </c>
      <c r="L180" s="146">
        <v>0</v>
      </c>
      <c r="M180" s="146">
        <v>0</v>
      </c>
      <c r="N180" s="146">
        <v>0.4</v>
      </c>
      <c r="O180" s="146">
        <v>3.6</v>
      </c>
      <c r="P180" s="146">
        <v>0.2</v>
      </c>
      <c r="Q180" s="146">
        <v>0.1</v>
      </c>
      <c r="R180" s="146">
        <v>0.1</v>
      </c>
      <c r="S180" s="146">
        <v>5.3</v>
      </c>
      <c r="T180" s="147">
        <v>0</v>
      </c>
      <c r="U180" s="146">
        <v>0</v>
      </c>
      <c r="V180" s="148"/>
      <c r="W180" s="148"/>
    </row>
    <row r="181" spans="1:23">
      <c r="A181" s="145">
        <v>174</v>
      </c>
      <c r="B181" s="150" t="s">
        <v>440</v>
      </c>
      <c r="C181" s="149">
        <v>122.9</v>
      </c>
      <c r="D181" s="149">
        <v>84</v>
      </c>
      <c r="E181" s="149">
        <v>22.7</v>
      </c>
      <c r="F181" s="149">
        <v>16.2</v>
      </c>
      <c r="G181" s="149">
        <v>0</v>
      </c>
      <c r="H181" s="149">
        <v>0</v>
      </c>
      <c r="I181" s="149">
        <v>2.7</v>
      </c>
      <c r="J181" s="149">
        <v>5</v>
      </c>
      <c r="K181" s="149">
        <v>0.6</v>
      </c>
      <c r="L181" s="149">
        <v>0</v>
      </c>
      <c r="M181" s="149">
        <v>0</v>
      </c>
      <c r="N181" s="149">
        <v>0.4</v>
      </c>
      <c r="O181" s="149">
        <v>1.8</v>
      </c>
      <c r="P181" s="149">
        <v>0.2</v>
      </c>
      <c r="Q181" s="149">
        <v>0.1</v>
      </c>
      <c r="R181" s="149">
        <v>0.1</v>
      </c>
      <c r="S181" s="149">
        <v>5.3</v>
      </c>
      <c r="T181" s="149">
        <v>0</v>
      </c>
      <c r="U181" s="152"/>
      <c r="V181" s="148"/>
      <c r="W181" s="148"/>
    </row>
    <row r="182" spans="1:23">
      <c r="A182" s="145">
        <v>175</v>
      </c>
      <c r="B182" s="150" t="s">
        <v>441</v>
      </c>
      <c r="C182" s="149">
        <v>1.8</v>
      </c>
      <c r="D182" s="153"/>
      <c r="E182" s="149">
        <v>0</v>
      </c>
      <c r="F182" s="149">
        <v>1.8</v>
      </c>
      <c r="G182" s="153"/>
      <c r="H182" s="153"/>
      <c r="I182" s="153"/>
      <c r="J182" s="153"/>
      <c r="K182" s="153"/>
      <c r="L182" s="153"/>
      <c r="M182" s="153"/>
      <c r="N182" s="153"/>
      <c r="O182" s="153">
        <v>1.8</v>
      </c>
      <c r="P182" s="153"/>
      <c r="Q182" s="153"/>
      <c r="R182" s="149"/>
      <c r="S182" s="153"/>
      <c r="T182" s="166"/>
      <c r="U182" s="152"/>
      <c r="V182" s="148"/>
      <c r="W182" s="148"/>
    </row>
    <row r="183" spans="1:23">
      <c r="A183" s="145">
        <v>176</v>
      </c>
      <c r="B183" s="197" t="s">
        <v>67</v>
      </c>
      <c r="C183" s="146">
        <v>1489.0000000000002</v>
      </c>
      <c r="D183" s="146">
        <v>967</v>
      </c>
      <c r="E183" s="146">
        <v>261.39999999999998</v>
      </c>
      <c r="F183" s="146">
        <v>260.60000000000002</v>
      </c>
      <c r="G183" s="146">
        <v>0</v>
      </c>
      <c r="H183" s="146">
        <v>0</v>
      </c>
      <c r="I183" s="146">
        <v>57.2</v>
      </c>
      <c r="J183" s="146">
        <v>19.399999999999999</v>
      </c>
      <c r="K183" s="146">
        <v>46.7</v>
      </c>
      <c r="L183" s="146">
        <v>4</v>
      </c>
      <c r="M183" s="146">
        <v>0</v>
      </c>
      <c r="N183" s="146">
        <v>45</v>
      </c>
      <c r="O183" s="146">
        <v>26.5</v>
      </c>
      <c r="P183" s="146">
        <v>3.8</v>
      </c>
      <c r="Q183" s="146">
        <v>1.5</v>
      </c>
      <c r="R183" s="146">
        <v>1.2</v>
      </c>
      <c r="S183" s="146">
        <v>55.3</v>
      </c>
      <c r="T183" s="147">
        <v>0</v>
      </c>
      <c r="U183" s="146">
        <v>0</v>
      </c>
      <c r="V183" s="148"/>
      <c r="W183" s="148"/>
    </row>
    <row r="184" spans="1:23">
      <c r="A184" s="145">
        <v>177</v>
      </c>
      <c r="B184" s="150" t="s">
        <v>440</v>
      </c>
      <c r="C184" s="149">
        <v>1476.3000000000002</v>
      </c>
      <c r="D184" s="149">
        <v>967</v>
      </c>
      <c r="E184" s="149">
        <v>261.39999999999998</v>
      </c>
      <c r="F184" s="149">
        <v>247.90000000000003</v>
      </c>
      <c r="G184" s="149">
        <v>0</v>
      </c>
      <c r="H184" s="149">
        <v>0</v>
      </c>
      <c r="I184" s="149">
        <v>57.2</v>
      </c>
      <c r="J184" s="149">
        <v>19.399999999999999</v>
      </c>
      <c r="K184" s="149">
        <v>36.700000000000003</v>
      </c>
      <c r="L184" s="149">
        <v>4</v>
      </c>
      <c r="M184" s="149">
        <v>0</v>
      </c>
      <c r="N184" s="149">
        <v>45</v>
      </c>
      <c r="O184" s="149">
        <v>23.8</v>
      </c>
      <c r="P184" s="149">
        <v>3.8</v>
      </c>
      <c r="Q184" s="149">
        <v>1.5</v>
      </c>
      <c r="R184" s="149">
        <v>1.2</v>
      </c>
      <c r="S184" s="149">
        <v>55.3</v>
      </c>
      <c r="T184" s="149">
        <v>0</v>
      </c>
      <c r="U184" s="152"/>
      <c r="V184" s="148"/>
      <c r="W184" s="148"/>
    </row>
    <row r="185" spans="1:23">
      <c r="A185" s="145">
        <v>178</v>
      </c>
      <c r="B185" s="150" t="s">
        <v>441</v>
      </c>
      <c r="C185" s="149">
        <v>12.7</v>
      </c>
      <c r="D185" s="153"/>
      <c r="E185" s="149">
        <v>0</v>
      </c>
      <c r="F185" s="149">
        <v>12.7</v>
      </c>
      <c r="G185" s="154"/>
      <c r="H185" s="154"/>
      <c r="I185" s="154"/>
      <c r="J185" s="154"/>
      <c r="K185" s="154">
        <v>10</v>
      </c>
      <c r="L185" s="154"/>
      <c r="M185" s="154"/>
      <c r="N185" s="154"/>
      <c r="O185" s="154">
        <v>2.7</v>
      </c>
      <c r="P185" s="154"/>
      <c r="Q185" s="154"/>
      <c r="R185" s="149"/>
      <c r="S185" s="154"/>
      <c r="T185" s="156"/>
      <c r="U185" s="152"/>
      <c r="V185" s="148"/>
      <c r="W185" s="148"/>
    </row>
    <row r="186" spans="1:23">
      <c r="A186" s="145">
        <v>179</v>
      </c>
      <c r="B186" s="192" t="s">
        <v>68</v>
      </c>
      <c r="C186" s="146">
        <v>699.2</v>
      </c>
      <c r="D186" s="146">
        <v>378.8</v>
      </c>
      <c r="E186" s="146">
        <v>102.4</v>
      </c>
      <c r="F186" s="146">
        <v>218</v>
      </c>
      <c r="G186" s="146">
        <v>0</v>
      </c>
      <c r="H186" s="146">
        <v>0</v>
      </c>
      <c r="I186" s="146">
        <v>60.3</v>
      </c>
      <c r="J186" s="146">
        <v>32.5</v>
      </c>
      <c r="K186" s="146">
        <v>10.3</v>
      </c>
      <c r="L186" s="146">
        <v>15.6</v>
      </c>
      <c r="M186" s="146">
        <v>0</v>
      </c>
      <c r="N186" s="146">
        <v>0.7</v>
      </c>
      <c r="O186" s="146">
        <v>10.199999999999999</v>
      </c>
      <c r="P186" s="146">
        <v>0.4</v>
      </c>
      <c r="Q186" s="146">
        <v>0.3</v>
      </c>
      <c r="R186" s="146">
        <v>0.4</v>
      </c>
      <c r="S186" s="146">
        <v>83.3</v>
      </c>
      <c r="T186" s="147">
        <v>4</v>
      </c>
      <c r="U186" s="146">
        <v>0</v>
      </c>
      <c r="V186" s="148"/>
      <c r="W186" s="148"/>
    </row>
    <row r="187" spans="1:23">
      <c r="A187" s="145">
        <v>180</v>
      </c>
      <c r="B187" s="150" t="s">
        <v>440</v>
      </c>
      <c r="C187" s="149">
        <v>668.2</v>
      </c>
      <c r="D187" s="149">
        <v>378.8</v>
      </c>
      <c r="E187" s="149">
        <v>102.4</v>
      </c>
      <c r="F187" s="149">
        <v>187</v>
      </c>
      <c r="G187" s="149">
        <v>0</v>
      </c>
      <c r="H187" s="149">
        <v>0</v>
      </c>
      <c r="I187" s="149">
        <v>60.3</v>
      </c>
      <c r="J187" s="149">
        <v>32.5</v>
      </c>
      <c r="K187" s="149">
        <v>10.3</v>
      </c>
      <c r="L187" s="149">
        <v>2.5</v>
      </c>
      <c r="M187" s="149">
        <v>0</v>
      </c>
      <c r="N187" s="149">
        <v>0.7</v>
      </c>
      <c r="O187" s="149">
        <v>3.5</v>
      </c>
      <c r="P187" s="149">
        <v>0.4</v>
      </c>
      <c r="Q187" s="149">
        <v>0.3</v>
      </c>
      <c r="R187" s="149">
        <v>0.4</v>
      </c>
      <c r="S187" s="149">
        <v>72.099999999999994</v>
      </c>
      <c r="T187" s="149">
        <v>4</v>
      </c>
      <c r="U187" s="152"/>
      <c r="V187" s="148"/>
      <c r="W187" s="148"/>
    </row>
    <row r="188" spans="1:23">
      <c r="A188" s="145">
        <v>181</v>
      </c>
      <c r="B188" s="150" t="s">
        <v>441</v>
      </c>
      <c r="C188" s="149">
        <v>31</v>
      </c>
      <c r="D188" s="153"/>
      <c r="E188" s="149">
        <v>0</v>
      </c>
      <c r="F188" s="149">
        <v>31</v>
      </c>
      <c r="G188" s="154"/>
      <c r="H188" s="154"/>
      <c r="I188" s="154"/>
      <c r="J188" s="154"/>
      <c r="K188" s="154"/>
      <c r="L188" s="154">
        <v>13.1</v>
      </c>
      <c r="M188" s="154"/>
      <c r="N188" s="154"/>
      <c r="O188" s="154">
        <v>6.7</v>
      </c>
      <c r="P188" s="154"/>
      <c r="Q188" s="154"/>
      <c r="R188" s="149"/>
      <c r="S188" s="154">
        <v>11.2</v>
      </c>
      <c r="T188" s="156"/>
      <c r="U188" s="152"/>
      <c r="V188" s="148"/>
      <c r="W188" s="148"/>
    </row>
    <row r="189" spans="1:23">
      <c r="A189" s="145">
        <v>182</v>
      </c>
      <c r="B189" s="192" t="s">
        <v>69</v>
      </c>
      <c r="C189" s="146">
        <v>1789.9</v>
      </c>
      <c r="D189" s="146">
        <v>1239.6000000000001</v>
      </c>
      <c r="E189" s="146">
        <v>383.6</v>
      </c>
      <c r="F189" s="146">
        <v>166.70000000000002</v>
      </c>
      <c r="G189" s="146">
        <v>0</v>
      </c>
      <c r="H189" s="146">
        <v>0</v>
      </c>
      <c r="I189" s="146">
        <v>20.3</v>
      </c>
      <c r="J189" s="146">
        <v>9.6</v>
      </c>
      <c r="K189" s="146">
        <v>4.3</v>
      </c>
      <c r="L189" s="146">
        <v>87</v>
      </c>
      <c r="M189" s="146">
        <v>29.3</v>
      </c>
      <c r="N189" s="146">
        <v>0</v>
      </c>
      <c r="O189" s="146">
        <v>0.7</v>
      </c>
      <c r="P189" s="146">
        <v>0</v>
      </c>
      <c r="Q189" s="146">
        <v>1</v>
      </c>
      <c r="R189" s="146">
        <v>5.9</v>
      </c>
      <c r="S189" s="146">
        <v>8.6000000000000014</v>
      </c>
      <c r="T189" s="147">
        <v>0</v>
      </c>
      <c r="U189" s="146">
        <v>0</v>
      </c>
      <c r="V189" s="148"/>
      <c r="W189" s="148"/>
    </row>
    <row r="190" spans="1:23">
      <c r="A190" s="145">
        <v>183</v>
      </c>
      <c r="B190" s="150" t="s">
        <v>440</v>
      </c>
      <c r="C190" s="149">
        <v>16.600000000000001</v>
      </c>
      <c r="D190" s="149">
        <v>11.2</v>
      </c>
      <c r="E190" s="149">
        <v>3</v>
      </c>
      <c r="F190" s="149">
        <v>2.4000000000000004</v>
      </c>
      <c r="G190" s="149">
        <v>0</v>
      </c>
      <c r="H190" s="149">
        <v>0</v>
      </c>
      <c r="I190" s="149">
        <v>0</v>
      </c>
      <c r="J190" s="149">
        <v>0</v>
      </c>
      <c r="K190" s="149">
        <v>1.3</v>
      </c>
      <c r="L190" s="149">
        <v>0</v>
      </c>
      <c r="M190" s="149">
        <v>0</v>
      </c>
      <c r="N190" s="149">
        <v>0</v>
      </c>
      <c r="O190" s="149">
        <v>0</v>
      </c>
      <c r="P190" s="149">
        <v>0</v>
      </c>
      <c r="Q190" s="149">
        <v>0</v>
      </c>
      <c r="R190" s="149">
        <v>0</v>
      </c>
      <c r="S190" s="149">
        <v>1.1000000000000001</v>
      </c>
      <c r="T190" s="149">
        <v>0</v>
      </c>
      <c r="U190" s="152"/>
      <c r="V190" s="148"/>
      <c r="W190" s="148"/>
    </row>
    <row r="191" spans="1:23">
      <c r="A191" s="145">
        <v>184</v>
      </c>
      <c r="B191" s="150" t="s">
        <v>441</v>
      </c>
      <c r="C191" s="149">
        <v>3.8</v>
      </c>
      <c r="D191" s="153"/>
      <c r="E191" s="149">
        <v>0</v>
      </c>
      <c r="F191" s="149">
        <v>3.8</v>
      </c>
      <c r="G191" s="154"/>
      <c r="H191" s="154"/>
      <c r="I191" s="154"/>
      <c r="J191" s="154"/>
      <c r="K191" s="154"/>
      <c r="L191" s="154"/>
      <c r="M191" s="154"/>
      <c r="N191" s="154"/>
      <c r="O191" s="154">
        <v>0.7</v>
      </c>
      <c r="P191" s="154"/>
      <c r="Q191" s="154"/>
      <c r="R191" s="149"/>
      <c r="S191" s="154">
        <v>3.1</v>
      </c>
      <c r="T191" s="156"/>
      <c r="U191" s="152"/>
      <c r="V191" s="148"/>
      <c r="W191" s="148"/>
    </row>
    <row r="192" spans="1:23">
      <c r="A192" s="145">
        <v>185</v>
      </c>
      <c r="B192" s="150" t="s">
        <v>445</v>
      </c>
      <c r="C192" s="149">
        <v>1769.5</v>
      </c>
      <c r="D192" s="153">
        <v>1228.4000000000001</v>
      </c>
      <c r="E192" s="149">
        <v>380.6</v>
      </c>
      <c r="F192" s="149">
        <v>160.50000000000003</v>
      </c>
      <c r="G192" s="154"/>
      <c r="H192" s="154"/>
      <c r="I192" s="154">
        <v>20.3</v>
      </c>
      <c r="J192" s="154">
        <v>9.6</v>
      </c>
      <c r="K192" s="154">
        <v>3</v>
      </c>
      <c r="L192" s="154">
        <v>87</v>
      </c>
      <c r="M192" s="154">
        <v>29.3</v>
      </c>
      <c r="N192" s="154"/>
      <c r="O192" s="154"/>
      <c r="P192" s="154"/>
      <c r="Q192" s="154">
        <v>1</v>
      </c>
      <c r="R192" s="149">
        <v>5.9</v>
      </c>
      <c r="S192" s="154">
        <v>4.4000000000000004</v>
      </c>
      <c r="T192" s="156"/>
      <c r="U192" s="152"/>
      <c r="V192" s="148"/>
      <c r="W192" s="148"/>
    </row>
    <row r="193" spans="1:23">
      <c r="A193" s="145">
        <v>186</v>
      </c>
      <c r="B193" s="192" t="s">
        <v>463</v>
      </c>
      <c r="C193" s="146">
        <v>1771.1</v>
      </c>
      <c r="D193" s="146">
        <v>877.5</v>
      </c>
      <c r="E193" s="146">
        <v>245.60000000000002</v>
      </c>
      <c r="F193" s="146">
        <v>648</v>
      </c>
      <c r="G193" s="146">
        <v>0</v>
      </c>
      <c r="H193" s="146">
        <v>0.7</v>
      </c>
      <c r="I193" s="146">
        <v>53.8</v>
      </c>
      <c r="J193" s="146">
        <v>14.2</v>
      </c>
      <c r="K193" s="146">
        <v>9.6</v>
      </c>
      <c r="L193" s="146">
        <v>10.5</v>
      </c>
      <c r="M193" s="146">
        <v>2.5</v>
      </c>
      <c r="N193" s="146">
        <v>0.4</v>
      </c>
      <c r="O193" s="146">
        <v>24.5</v>
      </c>
      <c r="P193" s="146">
        <v>0.30000000000000004</v>
      </c>
      <c r="Q193" s="146">
        <v>6.6</v>
      </c>
      <c r="R193" s="146">
        <v>0.89999999999999991</v>
      </c>
      <c r="S193" s="146">
        <v>523.99999999999989</v>
      </c>
      <c r="T193" s="147">
        <v>0</v>
      </c>
      <c r="U193" s="146">
        <v>0</v>
      </c>
      <c r="V193" s="148"/>
      <c r="W193" s="148"/>
    </row>
    <row r="194" spans="1:23">
      <c r="A194" s="145">
        <v>187</v>
      </c>
      <c r="B194" s="150" t="s">
        <v>440</v>
      </c>
      <c r="C194" s="149">
        <v>1413.1999999999998</v>
      </c>
      <c r="D194" s="149">
        <v>663.6</v>
      </c>
      <c r="E194" s="149">
        <v>179.4</v>
      </c>
      <c r="F194" s="149">
        <v>570.19999999999993</v>
      </c>
      <c r="G194" s="149">
        <v>0</v>
      </c>
      <c r="H194" s="149">
        <v>0.1</v>
      </c>
      <c r="I194" s="149">
        <v>36.4</v>
      </c>
      <c r="J194" s="149">
        <v>8</v>
      </c>
      <c r="K194" s="149">
        <v>2.4</v>
      </c>
      <c r="L194" s="149">
        <v>2.4</v>
      </c>
      <c r="M194" s="149">
        <v>1.5</v>
      </c>
      <c r="N194" s="149">
        <v>0.4</v>
      </c>
      <c r="O194" s="149">
        <v>3.2</v>
      </c>
      <c r="P194" s="149">
        <v>0.1</v>
      </c>
      <c r="Q194" s="149">
        <v>3.4</v>
      </c>
      <c r="R194" s="149">
        <v>0.7</v>
      </c>
      <c r="S194" s="149">
        <v>511.59999999999997</v>
      </c>
      <c r="T194" s="149">
        <v>0</v>
      </c>
      <c r="U194" s="152"/>
      <c r="V194" s="148"/>
      <c r="W194" s="148"/>
    </row>
    <row r="195" spans="1:23">
      <c r="A195" s="145">
        <v>188</v>
      </c>
      <c r="B195" s="150" t="s">
        <v>441</v>
      </c>
      <c r="C195" s="149">
        <v>24.7</v>
      </c>
      <c r="D195" s="153"/>
      <c r="E195" s="149">
        <v>0</v>
      </c>
      <c r="F195" s="149">
        <v>24.7</v>
      </c>
      <c r="G195" s="154"/>
      <c r="H195" s="154">
        <v>0.4</v>
      </c>
      <c r="I195" s="154">
        <v>3.5</v>
      </c>
      <c r="J195" s="154">
        <v>3.4</v>
      </c>
      <c r="K195" s="154">
        <v>3.2</v>
      </c>
      <c r="L195" s="154"/>
      <c r="M195" s="154">
        <v>1</v>
      </c>
      <c r="N195" s="154"/>
      <c r="O195" s="154">
        <v>6.6</v>
      </c>
      <c r="P195" s="154">
        <v>0.2</v>
      </c>
      <c r="Q195" s="154">
        <v>2.4</v>
      </c>
      <c r="R195" s="149"/>
      <c r="S195" s="154">
        <v>4</v>
      </c>
      <c r="T195" s="156"/>
      <c r="U195" s="152"/>
      <c r="V195" s="148"/>
      <c r="W195" s="148"/>
    </row>
    <row r="196" spans="1:23">
      <c r="A196" s="145">
        <v>189</v>
      </c>
      <c r="B196" s="150" t="s">
        <v>445</v>
      </c>
      <c r="C196" s="149">
        <v>333.20000000000005</v>
      </c>
      <c r="D196" s="153">
        <v>213.9</v>
      </c>
      <c r="E196" s="149">
        <v>66.2</v>
      </c>
      <c r="F196" s="149">
        <v>53.1</v>
      </c>
      <c r="G196" s="154"/>
      <c r="H196" s="154">
        <v>0.2</v>
      </c>
      <c r="I196" s="154">
        <v>13.9</v>
      </c>
      <c r="J196" s="154">
        <v>2.8</v>
      </c>
      <c r="K196" s="154">
        <v>4</v>
      </c>
      <c r="L196" s="154">
        <v>8.1</v>
      </c>
      <c r="M196" s="154"/>
      <c r="N196" s="154"/>
      <c r="O196" s="154">
        <v>14.7</v>
      </c>
      <c r="P196" s="154"/>
      <c r="Q196" s="154">
        <v>0.8</v>
      </c>
      <c r="R196" s="149">
        <v>0.2</v>
      </c>
      <c r="S196" s="154">
        <v>8.4</v>
      </c>
      <c r="T196" s="156"/>
      <c r="U196" s="152"/>
      <c r="V196" s="148"/>
      <c r="W196" s="148"/>
    </row>
    <row r="197" spans="1:23">
      <c r="A197" s="145">
        <v>190</v>
      </c>
      <c r="B197" s="192" t="s">
        <v>71</v>
      </c>
      <c r="C197" s="146">
        <v>909.1</v>
      </c>
      <c r="D197" s="146">
        <v>468.20000000000005</v>
      </c>
      <c r="E197" s="146">
        <v>137.19999999999999</v>
      </c>
      <c r="F197" s="146">
        <v>303.70000000000005</v>
      </c>
      <c r="G197" s="146">
        <v>152.19999999999999</v>
      </c>
      <c r="H197" s="146">
        <v>30.3</v>
      </c>
      <c r="I197" s="146">
        <v>10.8</v>
      </c>
      <c r="J197" s="146">
        <v>15.1</v>
      </c>
      <c r="K197" s="146">
        <v>5.4</v>
      </c>
      <c r="L197" s="146">
        <v>10.6</v>
      </c>
      <c r="M197" s="146">
        <v>21.5</v>
      </c>
      <c r="N197" s="146">
        <v>1.2000000000000002</v>
      </c>
      <c r="O197" s="146">
        <v>20.6</v>
      </c>
      <c r="P197" s="146">
        <v>0.3</v>
      </c>
      <c r="Q197" s="146">
        <v>7.1000000000000005</v>
      </c>
      <c r="R197" s="146">
        <v>0.2</v>
      </c>
      <c r="S197" s="146">
        <v>28.4</v>
      </c>
      <c r="T197" s="147">
        <v>0</v>
      </c>
      <c r="U197" s="146">
        <v>0</v>
      </c>
      <c r="V197" s="148"/>
      <c r="W197" s="148"/>
    </row>
    <row r="198" spans="1:23">
      <c r="A198" s="145">
        <v>191</v>
      </c>
      <c r="B198" s="150" t="s">
        <v>440</v>
      </c>
      <c r="C198" s="149">
        <v>309.5</v>
      </c>
      <c r="D198" s="149">
        <v>200.8</v>
      </c>
      <c r="E198" s="149">
        <v>54.3</v>
      </c>
      <c r="F198" s="149">
        <v>54.4</v>
      </c>
      <c r="G198" s="149">
        <v>23.3</v>
      </c>
      <c r="H198" s="149">
        <v>11.9</v>
      </c>
      <c r="I198" s="149">
        <v>4</v>
      </c>
      <c r="J198" s="149">
        <v>2.1</v>
      </c>
      <c r="K198" s="149">
        <v>0.4</v>
      </c>
      <c r="L198" s="149">
        <v>2.4</v>
      </c>
      <c r="M198" s="149">
        <v>0</v>
      </c>
      <c r="N198" s="149">
        <v>0.4</v>
      </c>
      <c r="O198" s="149">
        <v>1.8</v>
      </c>
      <c r="P198" s="149">
        <v>0.3</v>
      </c>
      <c r="Q198" s="149">
        <v>5.4</v>
      </c>
      <c r="R198" s="149">
        <v>0.2</v>
      </c>
      <c r="S198" s="149">
        <v>2.1999999999999997</v>
      </c>
      <c r="T198" s="149">
        <v>0</v>
      </c>
      <c r="U198" s="152"/>
      <c r="V198" s="148"/>
      <c r="W198" s="148"/>
    </row>
    <row r="199" spans="1:23">
      <c r="A199" s="145">
        <v>192</v>
      </c>
      <c r="B199" s="150" t="s">
        <v>441</v>
      </c>
      <c r="C199" s="149">
        <v>368.20000000000005</v>
      </c>
      <c r="D199" s="153">
        <v>149.4</v>
      </c>
      <c r="E199" s="149">
        <v>46.3</v>
      </c>
      <c r="F199" s="149">
        <v>172.50000000000003</v>
      </c>
      <c r="G199" s="167">
        <v>88.7</v>
      </c>
      <c r="H199" s="154">
        <v>11.1</v>
      </c>
      <c r="I199" s="154">
        <v>2.2000000000000002</v>
      </c>
      <c r="J199" s="154">
        <v>8</v>
      </c>
      <c r="K199" s="154">
        <v>3</v>
      </c>
      <c r="L199" s="154">
        <v>5.2</v>
      </c>
      <c r="M199" s="154">
        <v>18.2</v>
      </c>
      <c r="N199" s="154">
        <v>0.8</v>
      </c>
      <c r="O199" s="154">
        <v>11.8</v>
      </c>
      <c r="P199" s="154"/>
      <c r="Q199" s="154">
        <v>0.5</v>
      </c>
      <c r="R199" s="149"/>
      <c r="S199" s="154">
        <v>23</v>
      </c>
      <c r="T199" s="156"/>
      <c r="U199" s="152"/>
      <c r="V199" s="148"/>
      <c r="W199" s="148"/>
    </row>
    <row r="200" spans="1:23">
      <c r="A200" s="145">
        <v>193</v>
      </c>
      <c r="B200" s="150" t="s">
        <v>445</v>
      </c>
      <c r="C200" s="149">
        <v>231.4</v>
      </c>
      <c r="D200" s="153">
        <v>118</v>
      </c>
      <c r="E200" s="149">
        <v>36.6</v>
      </c>
      <c r="F200" s="149">
        <v>76.800000000000011</v>
      </c>
      <c r="G200" s="167">
        <v>40.200000000000003</v>
      </c>
      <c r="H200" s="154">
        <v>7.3</v>
      </c>
      <c r="I200" s="154">
        <v>4.5999999999999996</v>
      </c>
      <c r="J200" s="154">
        <v>5</v>
      </c>
      <c r="K200" s="154">
        <v>2</v>
      </c>
      <c r="L200" s="154">
        <v>3</v>
      </c>
      <c r="M200" s="154">
        <v>3.3</v>
      </c>
      <c r="N200" s="154"/>
      <c r="O200" s="154">
        <v>7</v>
      </c>
      <c r="P200" s="154"/>
      <c r="Q200" s="154">
        <v>1.2</v>
      </c>
      <c r="R200" s="149"/>
      <c r="S200" s="154">
        <v>3.2</v>
      </c>
      <c r="T200" s="156"/>
      <c r="U200" s="152"/>
      <c r="V200" s="148"/>
      <c r="W200" s="148"/>
    </row>
    <row r="201" spans="1:23">
      <c r="A201" s="145">
        <v>194</v>
      </c>
      <c r="B201" s="197" t="s">
        <v>72</v>
      </c>
      <c r="C201" s="146">
        <v>1138.1999999999998</v>
      </c>
      <c r="D201" s="146">
        <v>530.5</v>
      </c>
      <c r="E201" s="146">
        <v>152.9</v>
      </c>
      <c r="F201" s="146">
        <v>454.8</v>
      </c>
      <c r="G201" s="146">
        <v>196.5</v>
      </c>
      <c r="H201" s="146">
        <v>15.9</v>
      </c>
      <c r="I201" s="146">
        <v>44.7</v>
      </c>
      <c r="J201" s="146">
        <v>47.1</v>
      </c>
      <c r="K201" s="146">
        <v>7.1000000000000005</v>
      </c>
      <c r="L201" s="146">
        <v>15.3</v>
      </c>
      <c r="M201" s="146">
        <v>2.5</v>
      </c>
      <c r="N201" s="146">
        <v>6.1</v>
      </c>
      <c r="O201" s="146">
        <v>42.6</v>
      </c>
      <c r="P201" s="146">
        <v>0.3</v>
      </c>
      <c r="Q201" s="146">
        <v>13.6</v>
      </c>
      <c r="R201" s="146">
        <v>2.5</v>
      </c>
      <c r="S201" s="146">
        <v>45.6</v>
      </c>
      <c r="T201" s="147">
        <v>15</v>
      </c>
      <c r="U201" s="146">
        <v>0</v>
      </c>
      <c r="V201" s="148"/>
      <c r="W201" s="148"/>
    </row>
    <row r="202" spans="1:23">
      <c r="A202" s="145">
        <v>195</v>
      </c>
      <c r="B202" s="150" t="s">
        <v>440</v>
      </c>
      <c r="C202" s="149">
        <v>428.6</v>
      </c>
      <c r="D202" s="149">
        <v>291.5</v>
      </c>
      <c r="E202" s="149">
        <v>78.8</v>
      </c>
      <c r="F202" s="149">
        <v>58.3</v>
      </c>
      <c r="G202" s="149">
        <v>11</v>
      </c>
      <c r="H202" s="149">
        <v>1</v>
      </c>
      <c r="I202" s="149">
        <v>16.2</v>
      </c>
      <c r="J202" s="149">
        <v>10.1</v>
      </c>
      <c r="K202" s="149">
        <v>1.7</v>
      </c>
      <c r="L202" s="149">
        <v>1.9</v>
      </c>
      <c r="M202" s="149">
        <v>1.5</v>
      </c>
      <c r="N202" s="149">
        <v>0.4</v>
      </c>
      <c r="O202" s="149">
        <v>7.6</v>
      </c>
      <c r="P202" s="149">
        <v>0.3</v>
      </c>
      <c r="Q202" s="149">
        <v>2.7</v>
      </c>
      <c r="R202" s="149">
        <v>0.4</v>
      </c>
      <c r="S202" s="149">
        <v>3.5</v>
      </c>
      <c r="T202" s="149">
        <v>0</v>
      </c>
      <c r="U202" s="152"/>
      <c r="V202" s="148"/>
      <c r="W202" s="148"/>
    </row>
    <row r="203" spans="1:23">
      <c r="A203" s="145">
        <v>196</v>
      </c>
      <c r="B203" s="150" t="s">
        <v>441</v>
      </c>
      <c r="C203" s="149">
        <v>391.7</v>
      </c>
      <c r="D203" s="153">
        <v>50.2</v>
      </c>
      <c r="E203" s="149">
        <v>15.6</v>
      </c>
      <c r="F203" s="149">
        <v>325.89999999999998</v>
      </c>
      <c r="G203" s="154">
        <v>148.69999999999999</v>
      </c>
      <c r="H203" s="154">
        <v>12</v>
      </c>
      <c r="I203" s="154">
        <v>22</v>
      </c>
      <c r="J203" s="154">
        <v>32.6</v>
      </c>
      <c r="K203" s="154">
        <v>5</v>
      </c>
      <c r="L203" s="154">
        <v>13</v>
      </c>
      <c r="M203" s="154">
        <v>1</v>
      </c>
      <c r="N203" s="154">
        <v>1.5</v>
      </c>
      <c r="O203" s="154">
        <v>27.1</v>
      </c>
      <c r="P203" s="154"/>
      <c r="Q203" s="154">
        <v>8.8000000000000007</v>
      </c>
      <c r="R203" s="149">
        <v>1</v>
      </c>
      <c r="S203" s="154">
        <v>38.200000000000003</v>
      </c>
      <c r="T203" s="156">
        <v>15</v>
      </c>
      <c r="U203" s="152"/>
      <c r="V203" s="148"/>
      <c r="W203" s="148"/>
    </row>
    <row r="204" spans="1:23">
      <c r="A204" s="145">
        <v>197</v>
      </c>
      <c r="B204" s="150" t="s">
        <v>442</v>
      </c>
      <c r="C204" s="149">
        <v>172.9</v>
      </c>
      <c r="D204" s="153">
        <v>126.6</v>
      </c>
      <c r="E204" s="149">
        <v>39.200000000000003</v>
      </c>
      <c r="F204" s="149">
        <v>7.1000000000000005</v>
      </c>
      <c r="G204" s="154"/>
      <c r="H204" s="154"/>
      <c r="I204" s="154"/>
      <c r="J204" s="154"/>
      <c r="K204" s="154"/>
      <c r="L204" s="154"/>
      <c r="M204" s="154"/>
      <c r="N204" s="154">
        <v>4.2</v>
      </c>
      <c r="O204" s="154"/>
      <c r="P204" s="154"/>
      <c r="Q204" s="154"/>
      <c r="R204" s="149">
        <v>1.1000000000000001</v>
      </c>
      <c r="S204" s="154">
        <v>1.7999999999999998</v>
      </c>
      <c r="T204" s="156"/>
      <c r="U204" s="152"/>
      <c r="V204" s="148"/>
      <c r="W204" s="148"/>
    </row>
    <row r="205" spans="1:23">
      <c r="A205" s="145">
        <v>198</v>
      </c>
      <c r="B205" s="150" t="s">
        <v>445</v>
      </c>
      <c r="C205" s="149">
        <v>145</v>
      </c>
      <c r="D205" s="153">
        <v>62.2</v>
      </c>
      <c r="E205" s="149">
        <v>19.3</v>
      </c>
      <c r="F205" s="149">
        <v>63.499999999999993</v>
      </c>
      <c r="G205" s="154">
        <v>36.799999999999997</v>
      </c>
      <c r="H205" s="154">
        <v>2.9</v>
      </c>
      <c r="I205" s="154">
        <v>6.5</v>
      </c>
      <c r="J205" s="154">
        <v>4.4000000000000004</v>
      </c>
      <c r="K205" s="154">
        <v>0.4</v>
      </c>
      <c r="L205" s="154">
        <v>0.4</v>
      </c>
      <c r="M205" s="154"/>
      <c r="N205" s="154"/>
      <c r="O205" s="154">
        <v>7.9</v>
      </c>
      <c r="P205" s="154"/>
      <c r="Q205" s="154">
        <v>2.1</v>
      </c>
      <c r="R205" s="149"/>
      <c r="S205" s="154">
        <v>2.1</v>
      </c>
      <c r="T205" s="156"/>
      <c r="U205" s="152"/>
      <c r="V205" s="148"/>
      <c r="W205" s="148"/>
    </row>
    <row r="206" spans="1:23">
      <c r="A206" s="145">
        <v>199</v>
      </c>
      <c r="B206" s="197" t="s">
        <v>464</v>
      </c>
      <c r="C206" s="146">
        <v>1030.7</v>
      </c>
      <c r="D206" s="146">
        <v>483.8</v>
      </c>
      <c r="E206" s="146">
        <v>137</v>
      </c>
      <c r="F206" s="146">
        <v>409.90000000000003</v>
      </c>
      <c r="G206" s="146">
        <v>121.2</v>
      </c>
      <c r="H206" s="146">
        <v>9.6</v>
      </c>
      <c r="I206" s="146">
        <v>23.3</v>
      </c>
      <c r="J206" s="146">
        <v>39.5</v>
      </c>
      <c r="K206" s="146">
        <v>5.2</v>
      </c>
      <c r="L206" s="146">
        <v>34.4</v>
      </c>
      <c r="M206" s="146">
        <v>7.6</v>
      </c>
      <c r="N206" s="146">
        <v>6.9</v>
      </c>
      <c r="O206" s="146">
        <v>68.099999999999994</v>
      </c>
      <c r="P206" s="146">
        <v>0.8</v>
      </c>
      <c r="Q206" s="146">
        <v>11.399999999999999</v>
      </c>
      <c r="R206" s="146">
        <v>3.2</v>
      </c>
      <c r="S206" s="146">
        <v>68.7</v>
      </c>
      <c r="T206" s="147">
        <v>10</v>
      </c>
      <c r="U206" s="146">
        <v>0</v>
      </c>
      <c r="V206" s="148"/>
      <c r="W206" s="148"/>
    </row>
    <row r="207" spans="1:23">
      <c r="A207" s="145">
        <v>200</v>
      </c>
      <c r="B207" s="150" t="s">
        <v>440</v>
      </c>
      <c r="C207" s="149">
        <v>476.6</v>
      </c>
      <c r="D207" s="149">
        <v>322.39999999999998</v>
      </c>
      <c r="E207" s="149">
        <v>87.1</v>
      </c>
      <c r="F207" s="149">
        <v>67.100000000000009</v>
      </c>
      <c r="G207" s="149">
        <v>20.2</v>
      </c>
      <c r="H207" s="149">
        <v>3.5</v>
      </c>
      <c r="I207" s="149">
        <v>4.8</v>
      </c>
      <c r="J207" s="149">
        <v>11.6</v>
      </c>
      <c r="K207" s="149">
        <v>1.2</v>
      </c>
      <c r="L207" s="149">
        <v>10.4</v>
      </c>
      <c r="M207" s="149">
        <v>2.2000000000000002</v>
      </c>
      <c r="N207" s="149">
        <v>0.4</v>
      </c>
      <c r="O207" s="149">
        <v>2.9</v>
      </c>
      <c r="P207" s="149">
        <v>0.3</v>
      </c>
      <c r="Q207" s="149">
        <v>6.2</v>
      </c>
      <c r="R207" s="149">
        <v>0.1</v>
      </c>
      <c r="S207" s="149">
        <v>3.3000000000000003</v>
      </c>
      <c r="T207" s="149">
        <v>0</v>
      </c>
      <c r="U207" s="152"/>
      <c r="V207" s="148"/>
      <c r="W207" s="148"/>
    </row>
    <row r="208" spans="1:23">
      <c r="A208" s="145">
        <v>201</v>
      </c>
      <c r="B208" s="150" t="s">
        <v>441</v>
      </c>
      <c r="C208" s="149">
        <v>293.8</v>
      </c>
      <c r="D208" s="153">
        <v>15</v>
      </c>
      <c r="E208" s="149">
        <v>4.5999999999999996</v>
      </c>
      <c r="F208" s="149">
        <v>274.2</v>
      </c>
      <c r="G208" s="154">
        <v>71</v>
      </c>
      <c r="H208" s="154">
        <v>3.1</v>
      </c>
      <c r="I208" s="154">
        <v>14</v>
      </c>
      <c r="J208" s="154">
        <v>23.4</v>
      </c>
      <c r="K208" s="154">
        <v>3</v>
      </c>
      <c r="L208" s="154">
        <v>20</v>
      </c>
      <c r="M208" s="154">
        <v>4</v>
      </c>
      <c r="N208" s="154">
        <v>3</v>
      </c>
      <c r="O208" s="154">
        <v>54.8</v>
      </c>
      <c r="P208" s="154">
        <v>0.5</v>
      </c>
      <c r="Q208" s="154">
        <v>4</v>
      </c>
      <c r="R208" s="149">
        <v>2</v>
      </c>
      <c r="S208" s="154">
        <v>61.4</v>
      </c>
      <c r="T208" s="156">
        <v>10</v>
      </c>
      <c r="U208" s="152"/>
      <c r="V208" s="148"/>
      <c r="W208" s="148"/>
    </row>
    <row r="209" spans="1:23">
      <c r="A209" s="145">
        <v>202</v>
      </c>
      <c r="B209" s="150" t="s">
        <v>442</v>
      </c>
      <c r="C209" s="149">
        <v>130.30000000000001</v>
      </c>
      <c r="D209" s="153">
        <v>95.1</v>
      </c>
      <c r="E209" s="149">
        <v>29.4</v>
      </c>
      <c r="F209" s="149">
        <v>5.8</v>
      </c>
      <c r="G209" s="154"/>
      <c r="H209" s="154"/>
      <c r="I209" s="154"/>
      <c r="J209" s="154"/>
      <c r="K209" s="154"/>
      <c r="L209" s="154"/>
      <c r="M209" s="154"/>
      <c r="N209" s="154">
        <v>3.5</v>
      </c>
      <c r="O209" s="154"/>
      <c r="P209" s="154"/>
      <c r="Q209" s="154"/>
      <c r="R209" s="149">
        <v>0.8</v>
      </c>
      <c r="S209" s="154">
        <v>1.5</v>
      </c>
      <c r="T209" s="156"/>
      <c r="U209" s="152"/>
      <c r="V209" s="148"/>
      <c r="W209" s="148"/>
    </row>
    <row r="210" spans="1:23">
      <c r="A210" s="145">
        <v>203</v>
      </c>
      <c r="B210" s="150" t="s">
        <v>445</v>
      </c>
      <c r="C210" s="149">
        <v>130</v>
      </c>
      <c r="D210" s="153">
        <v>51.3</v>
      </c>
      <c r="E210" s="149">
        <v>15.9</v>
      </c>
      <c r="F210" s="149">
        <v>62.8</v>
      </c>
      <c r="G210" s="154">
        <v>30</v>
      </c>
      <c r="H210" s="154">
        <v>3</v>
      </c>
      <c r="I210" s="154">
        <v>4.5</v>
      </c>
      <c r="J210" s="154">
        <v>4.5</v>
      </c>
      <c r="K210" s="154">
        <v>1</v>
      </c>
      <c r="L210" s="154">
        <v>4</v>
      </c>
      <c r="M210" s="154">
        <v>1.4</v>
      </c>
      <c r="N210" s="154"/>
      <c r="O210" s="154">
        <v>10.4</v>
      </c>
      <c r="P210" s="154"/>
      <c r="Q210" s="154">
        <v>1.2</v>
      </c>
      <c r="R210" s="149">
        <v>0.3</v>
      </c>
      <c r="S210" s="154">
        <v>2.5</v>
      </c>
      <c r="T210" s="156"/>
      <c r="U210" s="152"/>
      <c r="V210" s="148"/>
      <c r="W210" s="148"/>
    </row>
    <row r="211" spans="1:23">
      <c r="A211" s="145">
        <v>204</v>
      </c>
      <c r="B211" s="192" t="s">
        <v>465</v>
      </c>
      <c r="C211" s="157">
        <v>1034</v>
      </c>
      <c r="D211" s="157">
        <v>572</v>
      </c>
      <c r="E211" s="157">
        <v>154.6</v>
      </c>
      <c r="F211" s="157">
        <v>307.39999999999998</v>
      </c>
      <c r="G211" s="157">
        <v>192.7</v>
      </c>
      <c r="H211" s="157">
        <v>4.5999999999999996</v>
      </c>
      <c r="I211" s="157">
        <v>43.4</v>
      </c>
      <c r="J211" s="157">
        <v>16.8</v>
      </c>
      <c r="K211" s="157">
        <v>1.9</v>
      </c>
      <c r="L211" s="157">
        <v>12.3</v>
      </c>
      <c r="M211" s="157">
        <v>12</v>
      </c>
      <c r="N211" s="157">
        <v>0.4</v>
      </c>
      <c r="O211" s="157">
        <v>8.1999999999999993</v>
      </c>
      <c r="P211" s="157">
        <v>0.3</v>
      </c>
      <c r="Q211" s="157">
        <v>7.9</v>
      </c>
      <c r="R211" s="157">
        <v>0.7</v>
      </c>
      <c r="S211" s="157">
        <v>6.2</v>
      </c>
      <c r="T211" s="158">
        <v>0</v>
      </c>
      <c r="U211" s="157">
        <v>0</v>
      </c>
      <c r="V211" s="148"/>
      <c r="W211" s="148"/>
    </row>
    <row r="212" spans="1:23">
      <c r="A212" s="145">
        <v>205</v>
      </c>
      <c r="B212" s="150" t="s">
        <v>440</v>
      </c>
      <c r="C212" s="159">
        <v>807.7</v>
      </c>
      <c r="D212" s="159">
        <v>572</v>
      </c>
      <c r="E212" s="159">
        <v>154.6</v>
      </c>
      <c r="F212" s="159">
        <v>81.100000000000023</v>
      </c>
      <c r="G212" s="159">
        <v>0</v>
      </c>
      <c r="H212" s="159">
        <v>0</v>
      </c>
      <c r="I212" s="159">
        <v>43.4</v>
      </c>
      <c r="J212" s="159">
        <v>16.8</v>
      </c>
      <c r="K212" s="159">
        <v>1.9</v>
      </c>
      <c r="L212" s="159">
        <v>2.2999999999999998</v>
      </c>
      <c r="M212" s="159">
        <v>0</v>
      </c>
      <c r="N212" s="159">
        <v>0.4</v>
      </c>
      <c r="O212" s="159">
        <v>1.2</v>
      </c>
      <c r="P212" s="159">
        <v>0.3</v>
      </c>
      <c r="Q212" s="159">
        <v>7.9</v>
      </c>
      <c r="R212" s="159">
        <v>0.7</v>
      </c>
      <c r="S212" s="159">
        <v>6.2</v>
      </c>
      <c r="T212" s="159">
        <v>0</v>
      </c>
      <c r="U212" s="160"/>
      <c r="V212" s="148"/>
      <c r="W212" s="148"/>
    </row>
    <row r="213" spans="1:23">
      <c r="A213" s="145">
        <v>206</v>
      </c>
      <c r="B213" s="150" t="s">
        <v>461</v>
      </c>
      <c r="C213" s="149">
        <v>226.29999999999998</v>
      </c>
      <c r="D213" s="161"/>
      <c r="E213" s="149">
        <v>0</v>
      </c>
      <c r="F213" s="149">
        <v>226.29999999999998</v>
      </c>
      <c r="G213" s="162">
        <v>192.7</v>
      </c>
      <c r="H213" s="162">
        <v>4.5999999999999996</v>
      </c>
      <c r="I213" s="162"/>
      <c r="J213" s="162"/>
      <c r="K213" s="162"/>
      <c r="L213" s="162">
        <v>10</v>
      </c>
      <c r="M213" s="162">
        <v>12</v>
      </c>
      <c r="N213" s="162"/>
      <c r="O213" s="162">
        <v>7</v>
      </c>
      <c r="P213" s="162"/>
      <c r="Q213" s="162"/>
      <c r="R213" s="149"/>
      <c r="S213" s="162"/>
      <c r="T213" s="163"/>
      <c r="U213" s="160"/>
      <c r="V213" s="148"/>
      <c r="W213" s="148"/>
    </row>
    <row r="214" spans="1:23">
      <c r="A214" s="145">
        <v>207</v>
      </c>
      <c r="B214" s="192" t="s">
        <v>75</v>
      </c>
      <c r="C214" s="146">
        <v>225.7</v>
      </c>
      <c r="D214" s="146">
        <v>128</v>
      </c>
      <c r="E214" s="146">
        <v>41.6</v>
      </c>
      <c r="F214" s="146">
        <v>56.1</v>
      </c>
      <c r="G214" s="146">
        <v>0</v>
      </c>
      <c r="H214" s="146">
        <v>0</v>
      </c>
      <c r="I214" s="146">
        <v>4.2</v>
      </c>
      <c r="J214" s="146">
        <v>3.5</v>
      </c>
      <c r="K214" s="146">
        <v>4</v>
      </c>
      <c r="L214" s="146">
        <v>8.8000000000000007</v>
      </c>
      <c r="M214" s="146">
        <v>0</v>
      </c>
      <c r="N214" s="146">
        <v>2</v>
      </c>
      <c r="O214" s="146">
        <v>3</v>
      </c>
      <c r="P214" s="146">
        <v>1</v>
      </c>
      <c r="Q214" s="146">
        <v>0.3</v>
      </c>
      <c r="R214" s="146">
        <v>1</v>
      </c>
      <c r="S214" s="146">
        <v>28.3</v>
      </c>
      <c r="T214" s="147">
        <v>0</v>
      </c>
      <c r="U214" s="146">
        <v>0</v>
      </c>
      <c r="V214" s="148"/>
      <c r="W214" s="148"/>
    </row>
    <row r="215" spans="1:23">
      <c r="A215" s="145">
        <v>208</v>
      </c>
      <c r="B215" s="150" t="s">
        <v>440</v>
      </c>
      <c r="C215" s="149">
        <v>149.6</v>
      </c>
      <c r="D215" s="149">
        <v>118</v>
      </c>
      <c r="E215" s="149">
        <v>31.6</v>
      </c>
      <c r="F215" s="149">
        <v>0</v>
      </c>
      <c r="G215" s="149">
        <v>0</v>
      </c>
      <c r="H215" s="149">
        <v>0</v>
      </c>
      <c r="I215" s="149">
        <v>0</v>
      </c>
      <c r="J215" s="149">
        <v>0</v>
      </c>
      <c r="K215" s="149">
        <v>0</v>
      </c>
      <c r="L215" s="149">
        <v>0</v>
      </c>
      <c r="M215" s="149">
        <v>0</v>
      </c>
      <c r="N215" s="149">
        <v>0</v>
      </c>
      <c r="O215" s="149">
        <v>0</v>
      </c>
      <c r="P215" s="149">
        <v>0</v>
      </c>
      <c r="Q215" s="149">
        <v>0</v>
      </c>
      <c r="R215" s="149">
        <v>0</v>
      </c>
      <c r="S215" s="149">
        <v>0</v>
      </c>
      <c r="T215" s="149">
        <v>0</v>
      </c>
      <c r="U215" s="152"/>
      <c r="V215" s="148"/>
      <c r="W215" s="148"/>
    </row>
    <row r="216" spans="1:23">
      <c r="A216" s="145">
        <v>209</v>
      </c>
      <c r="B216" s="150" t="s">
        <v>441</v>
      </c>
      <c r="C216" s="149">
        <v>76.099999999999994</v>
      </c>
      <c r="D216" s="153">
        <v>10</v>
      </c>
      <c r="E216" s="149">
        <v>10</v>
      </c>
      <c r="F216" s="149">
        <v>56.1</v>
      </c>
      <c r="G216" s="154"/>
      <c r="H216" s="154"/>
      <c r="I216" s="154">
        <v>4.2</v>
      </c>
      <c r="J216" s="154">
        <v>3.5</v>
      </c>
      <c r="K216" s="154">
        <v>4</v>
      </c>
      <c r="L216" s="154">
        <v>8.8000000000000007</v>
      </c>
      <c r="M216" s="154"/>
      <c r="N216" s="154">
        <v>2</v>
      </c>
      <c r="O216" s="154">
        <v>3</v>
      </c>
      <c r="P216" s="154">
        <v>1</v>
      </c>
      <c r="Q216" s="154">
        <v>0.3</v>
      </c>
      <c r="R216" s="149">
        <v>1</v>
      </c>
      <c r="S216" s="154">
        <v>28.3</v>
      </c>
      <c r="T216" s="156"/>
      <c r="U216" s="152"/>
      <c r="V216" s="148"/>
      <c r="W216" s="148"/>
    </row>
    <row r="217" spans="1:23">
      <c r="A217" s="145">
        <v>210</v>
      </c>
      <c r="B217" s="150" t="s">
        <v>445</v>
      </c>
      <c r="C217" s="149">
        <v>0</v>
      </c>
      <c r="D217" s="153"/>
      <c r="E217" s="149">
        <v>0</v>
      </c>
      <c r="F217" s="149">
        <v>0</v>
      </c>
      <c r="G217" s="154"/>
      <c r="H217" s="154"/>
      <c r="I217" s="154"/>
      <c r="J217" s="154"/>
      <c r="K217" s="154"/>
      <c r="L217" s="154"/>
      <c r="M217" s="154"/>
      <c r="N217" s="154"/>
      <c r="O217" s="154"/>
      <c r="P217" s="154"/>
      <c r="Q217" s="154"/>
      <c r="R217" s="149"/>
      <c r="S217" s="154"/>
      <c r="T217" s="156"/>
      <c r="U217" s="152"/>
      <c r="V217" s="148"/>
      <c r="W217" s="148"/>
    </row>
    <row r="218" spans="1:23">
      <c r="A218" s="145">
        <v>211</v>
      </c>
      <c r="B218" s="192" t="s">
        <v>466</v>
      </c>
      <c r="C218" s="146">
        <v>227.20000000000002</v>
      </c>
      <c r="D218" s="146">
        <v>164.8</v>
      </c>
      <c r="E218" s="146">
        <v>44.5</v>
      </c>
      <c r="F218" s="146">
        <v>17.900000000000002</v>
      </c>
      <c r="G218" s="146">
        <v>0</v>
      </c>
      <c r="H218" s="146">
        <v>0</v>
      </c>
      <c r="I218" s="146">
        <v>1.3</v>
      </c>
      <c r="J218" s="146">
        <v>1.1000000000000001</v>
      </c>
      <c r="K218" s="146">
        <v>1.2</v>
      </c>
      <c r="L218" s="146">
        <v>7.5</v>
      </c>
      <c r="M218" s="146">
        <v>0</v>
      </c>
      <c r="N218" s="146">
        <v>0.4</v>
      </c>
      <c r="O218" s="146">
        <v>1.3</v>
      </c>
      <c r="P218" s="146">
        <v>0.9</v>
      </c>
      <c r="Q218" s="146">
        <v>0.1</v>
      </c>
      <c r="R218" s="146">
        <v>0.2</v>
      </c>
      <c r="S218" s="146">
        <v>1.9000000000000001</v>
      </c>
      <c r="T218" s="146">
        <v>2</v>
      </c>
      <c r="U218" s="168"/>
      <c r="V218" s="148"/>
      <c r="W218" s="148"/>
    </row>
    <row r="219" spans="1:23">
      <c r="A219" s="145">
        <v>212</v>
      </c>
      <c r="B219" s="194" t="s">
        <v>467</v>
      </c>
      <c r="C219" s="155">
        <v>12184.800000000001</v>
      </c>
      <c r="D219" s="155">
        <v>7041.7999999999993</v>
      </c>
      <c r="E219" s="155">
        <v>1994.6999999999998</v>
      </c>
      <c r="F219" s="155">
        <v>3148.3</v>
      </c>
      <c r="G219" s="155">
        <v>469.9</v>
      </c>
      <c r="H219" s="155">
        <v>56.499999999999993</v>
      </c>
      <c r="I219" s="155">
        <v>407.59999999999997</v>
      </c>
      <c r="J219" s="155">
        <v>251.2</v>
      </c>
      <c r="K219" s="155">
        <v>112.70000000000002</v>
      </c>
      <c r="L219" s="155">
        <v>219.3</v>
      </c>
      <c r="M219" s="155">
        <v>63.4</v>
      </c>
      <c r="N219" s="155">
        <v>67.2</v>
      </c>
      <c r="O219" s="155">
        <v>253.39999999999998</v>
      </c>
      <c r="P219" s="155">
        <v>10.3</v>
      </c>
      <c r="Q219" s="155">
        <v>51.599999999999994</v>
      </c>
      <c r="R219" s="155">
        <v>17.5</v>
      </c>
      <c r="S219" s="155">
        <v>1014.6999999999997</v>
      </c>
      <c r="T219" s="155">
        <v>153</v>
      </c>
      <c r="U219" s="155">
        <v>0</v>
      </c>
      <c r="V219" s="148"/>
      <c r="W219" s="148"/>
    </row>
    <row r="220" spans="1:23">
      <c r="A220" s="145">
        <v>213</v>
      </c>
      <c r="B220" s="193" t="s">
        <v>440</v>
      </c>
      <c r="C220" s="155">
        <v>7962.6</v>
      </c>
      <c r="D220" s="155">
        <v>4896.4999999999991</v>
      </c>
      <c r="E220" s="155">
        <v>1323.2</v>
      </c>
      <c r="F220" s="155">
        <v>1742.9000000000003</v>
      </c>
      <c r="G220" s="155">
        <v>54.5</v>
      </c>
      <c r="H220" s="155">
        <v>16.5</v>
      </c>
      <c r="I220" s="155">
        <v>309.89999999999998</v>
      </c>
      <c r="J220" s="155">
        <v>150</v>
      </c>
      <c r="K220" s="155">
        <v>70.100000000000009</v>
      </c>
      <c r="L220" s="155">
        <v>52.7</v>
      </c>
      <c r="M220" s="155">
        <v>5.2</v>
      </c>
      <c r="N220" s="155">
        <v>51.900000000000006</v>
      </c>
      <c r="O220" s="155">
        <v>74.499999999999986</v>
      </c>
      <c r="P220" s="155">
        <v>8.6000000000000014</v>
      </c>
      <c r="Q220" s="155">
        <v>28.9</v>
      </c>
      <c r="R220" s="155">
        <v>5.1999999999999993</v>
      </c>
      <c r="S220" s="155">
        <v>788.89999999999975</v>
      </c>
      <c r="T220" s="155">
        <v>126</v>
      </c>
      <c r="U220" s="155">
        <v>0</v>
      </c>
      <c r="V220" s="148"/>
      <c r="W220" s="148"/>
    </row>
    <row r="221" spans="1:23">
      <c r="A221" s="145">
        <v>214</v>
      </c>
      <c r="B221" s="197" t="s">
        <v>441</v>
      </c>
      <c r="C221" s="155">
        <v>1309.9000000000001</v>
      </c>
      <c r="D221" s="155">
        <v>249.8</v>
      </c>
      <c r="E221" s="155">
        <v>84.3</v>
      </c>
      <c r="F221" s="155">
        <v>975.80000000000007</v>
      </c>
      <c r="G221" s="155">
        <v>308.39999999999998</v>
      </c>
      <c r="H221" s="155">
        <v>26.599999999999998</v>
      </c>
      <c r="I221" s="155">
        <v>47.900000000000006</v>
      </c>
      <c r="J221" s="155">
        <v>74.900000000000006</v>
      </c>
      <c r="K221" s="155">
        <v>32.200000000000003</v>
      </c>
      <c r="L221" s="155">
        <v>64.099999999999994</v>
      </c>
      <c r="M221" s="155">
        <v>24.2</v>
      </c>
      <c r="N221" s="155">
        <v>7.6</v>
      </c>
      <c r="O221" s="155">
        <v>138.9</v>
      </c>
      <c r="P221" s="155">
        <v>1.7</v>
      </c>
      <c r="Q221" s="155">
        <v>16.399999999999999</v>
      </c>
      <c r="R221" s="155">
        <v>4</v>
      </c>
      <c r="S221" s="155">
        <v>201.9</v>
      </c>
      <c r="T221" s="155">
        <v>27</v>
      </c>
      <c r="U221" s="155">
        <v>0</v>
      </c>
      <c r="V221" s="148"/>
      <c r="W221" s="148"/>
    </row>
    <row r="222" spans="1:23">
      <c r="A222" s="145">
        <v>215</v>
      </c>
      <c r="B222" s="197" t="s">
        <v>442</v>
      </c>
      <c r="C222" s="155">
        <v>303.20000000000005</v>
      </c>
      <c r="D222" s="155">
        <v>221.7</v>
      </c>
      <c r="E222" s="155">
        <v>68.599999999999994</v>
      </c>
      <c r="F222" s="155">
        <v>12.9</v>
      </c>
      <c r="G222" s="155">
        <v>0</v>
      </c>
      <c r="H222" s="155">
        <v>0</v>
      </c>
      <c r="I222" s="155">
        <v>0</v>
      </c>
      <c r="J222" s="155">
        <v>0</v>
      </c>
      <c r="K222" s="155">
        <v>0</v>
      </c>
      <c r="L222" s="155">
        <v>0</v>
      </c>
      <c r="M222" s="155">
        <v>0</v>
      </c>
      <c r="N222" s="155">
        <v>7.7</v>
      </c>
      <c r="O222" s="155">
        <v>0</v>
      </c>
      <c r="P222" s="155">
        <v>0</v>
      </c>
      <c r="Q222" s="155">
        <v>0</v>
      </c>
      <c r="R222" s="155">
        <v>1.9000000000000001</v>
      </c>
      <c r="S222" s="155">
        <v>3.3</v>
      </c>
      <c r="T222" s="155">
        <v>0</v>
      </c>
      <c r="U222" s="155">
        <v>0</v>
      </c>
      <c r="V222" s="148"/>
      <c r="W222" s="148"/>
    </row>
    <row r="223" spans="1:23">
      <c r="A223" s="145">
        <v>216</v>
      </c>
      <c r="B223" s="197" t="s">
        <v>445</v>
      </c>
      <c r="C223" s="155">
        <v>2609.1</v>
      </c>
      <c r="D223" s="155">
        <v>1673.8000000000002</v>
      </c>
      <c r="E223" s="155">
        <v>518.6</v>
      </c>
      <c r="F223" s="155">
        <v>416.70000000000005</v>
      </c>
      <c r="G223" s="155">
        <v>107</v>
      </c>
      <c r="H223" s="155">
        <v>13.399999999999999</v>
      </c>
      <c r="I223" s="155">
        <v>49.8</v>
      </c>
      <c r="J223" s="155">
        <v>26.299999999999997</v>
      </c>
      <c r="K223" s="155">
        <v>10.4</v>
      </c>
      <c r="L223" s="155">
        <v>102.5</v>
      </c>
      <c r="M223" s="155">
        <v>34</v>
      </c>
      <c r="N223" s="155">
        <v>0</v>
      </c>
      <c r="O223" s="155">
        <v>40</v>
      </c>
      <c r="P223" s="155">
        <v>0</v>
      </c>
      <c r="Q223" s="155">
        <v>6.3</v>
      </c>
      <c r="R223" s="155">
        <v>6.4</v>
      </c>
      <c r="S223" s="155">
        <v>20.6</v>
      </c>
      <c r="T223" s="155">
        <v>0</v>
      </c>
      <c r="U223" s="155">
        <v>0</v>
      </c>
      <c r="V223" s="148"/>
      <c r="W223" s="148"/>
    </row>
    <row r="224" spans="1:23">
      <c r="A224" s="145">
        <v>217</v>
      </c>
      <c r="B224" s="169" t="s">
        <v>78</v>
      </c>
      <c r="C224" s="146">
        <v>13119.3</v>
      </c>
      <c r="D224" s="146">
        <v>3741.5000000000005</v>
      </c>
      <c r="E224" s="146">
        <v>1048.7</v>
      </c>
      <c r="F224" s="146">
        <v>8329.0999999999985</v>
      </c>
      <c r="G224" s="146">
        <v>0</v>
      </c>
      <c r="H224" s="146">
        <v>0</v>
      </c>
      <c r="I224" s="146">
        <v>164.39999999999998</v>
      </c>
      <c r="J224" s="146">
        <v>146.30000000000001</v>
      </c>
      <c r="K224" s="146">
        <v>70.7</v>
      </c>
      <c r="L224" s="146">
        <v>301</v>
      </c>
      <c r="M224" s="146">
        <v>0</v>
      </c>
      <c r="N224" s="146">
        <v>8.5</v>
      </c>
      <c r="O224" s="146">
        <v>212.8</v>
      </c>
      <c r="P224" s="146">
        <v>30.9</v>
      </c>
      <c r="Q224" s="146">
        <v>9.4</v>
      </c>
      <c r="R224" s="146">
        <v>7.6</v>
      </c>
      <c r="S224" s="146">
        <v>2638.5</v>
      </c>
      <c r="T224" s="147">
        <v>482</v>
      </c>
      <c r="U224" s="146">
        <v>4257</v>
      </c>
      <c r="V224" s="148"/>
      <c r="W224" s="148"/>
    </row>
    <row r="225" spans="1:23">
      <c r="A225" s="145">
        <v>218</v>
      </c>
      <c r="B225" s="150" t="s">
        <v>440</v>
      </c>
      <c r="C225" s="149">
        <v>6259.5</v>
      </c>
      <c r="D225" s="149">
        <v>2839.6000000000004</v>
      </c>
      <c r="E225" s="149">
        <v>767.5</v>
      </c>
      <c r="F225" s="149">
        <v>2652.3999999999996</v>
      </c>
      <c r="G225" s="149">
        <v>0</v>
      </c>
      <c r="H225" s="149">
        <v>0</v>
      </c>
      <c r="I225" s="149">
        <v>103.7</v>
      </c>
      <c r="J225" s="149">
        <v>75.5</v>
      </c>
      <c r="K225" s="149">
        <v>61</v>
      </c>
      <c r="L225" s="149">
        <v>258</v>
      </c>
      <c r="M225" s="149">
        <v>0</v>
      </c>
      <c r="N225" s="149">
        <v>8.1999999999999993</v>
      </c>
      <c r="O225" s="149">
        <v>135</v>
      </c>
      <c r="P225" s="149">
        <v>29.4</v>
      </c>
      <c r="Q225" s="149">
        <v>6.4</v>
      </c>
      <c r="R225" s="149">
        <v>5.8</v>
      </c>
      <c r="S225" s="149">
        <v>1487.3999999999999</v>
      </c>
      <c r="T225" s="149">
        <v>482</v>
      </c>
      <c r="U225" s="149"/>
      <c r="V225" s="148"/>
      <c r="W225" s="148"/>
    </row>
    <row r="226" spans="1:23">
      <c r="A226" s="145">
        <v>219</v>
      </c>
      <c r="B226" s="150" t="s">
        <v>441</v>
      </c>
      <c r="C226" s="149">
        <v>142</v>
      </c>
      <c r="D226" s="153"/>
      <c r="E226" s="149">
        <v>0</v>
      </c>
      <c r="F226" s="149">
        <v>142</v>
      </c>
      <c r="G226" s="153"/>
      <c r="H226" s="153"/>
      <c r="I226" s="153">
        <v>28.5</v>
      </c>
      <c r="J226" s="153">
        <v>58.9</v>
      </c>
      <c r="K226" s="153">
        <v>1.1000000000000001</v>
      </c>
      <c r="L226" s="153">
        <v>6</v>
      </c>
      <c r="M226" s="153"/>
      <c r="N226" s="153"/>
      <c r="O226" s="153">
        <v>44.8</v>
      </c>
      <c r="P226" s="153"/>
      <c r="Q226" s="153">
        <v>1.2</v>
      </c>
      <c r="R226" s="149"/>
      <c r="S226" s="153">
        <v>1.5</v>
      </c>
      <c r="T226" s="166"/>
      <c r="U226" s="152"/>
      <c r="V226" s="148"/>
      <c r="W226" s="148"/>
    </row>
    <row r="227" spans="1:23">
      <c r="A227" s="145">
        <v>220</v>
      </c>
      <c r="B227" s="150" t="s">
        <v>445</v>
      </c>
      <c r="C227" s="149">
        <v>6717.7999999999993</v>
      </c>
      <c r="D227" s="153">
        <v>901.9</v>
      </c>
      <c r="E227" s="149">
        <v>281.2</v>
      </c>
      <c r="F227" s="149">
        <v>5534.7</v>
      </c>
      <c r="G227" s="153"/>
      <c r="H227" s="153"/>
      <c r="I227" s="153">
        <v>32.200000000000003</v>
      </c>
      <c r="J227" s="153">
        <v>11.9</v>
      </c>
      <c r="K227" s="153">
        <v>8.6</v>
      </c>
      <c r="L227" s="153">
        <v>37</v>
      </c>
      <c r="M227" s="153"/>
      <c r="N227" s="153">
        <v>0.3</v>
      </c>
      <c r="O227" s="153">
        <v>33</v>
      </c>
      <c r="P227" s="153">
        <v>1.5</v>
      </c>
      <c r="Q227" s="153">
        <v>1.8</v>
      </c>
      <c r="R227" s="149">
        <v>1.8</v>
      </c>
      <c r="S227" s="153">
        <v>1149.5999999999999</v>
      </c>
      <c r="T227" s="166"/>
      <c r="U227" s="152">
        <v>4257</v>
      </c>
      <c r="V227" s="148"/>
      <c r="W227" s="148"/>
    </row>
    <row r="228" spans="1:23">
      <c r="A228" s="145">
        <v>221</v>
      </c>
      <c r="B228" s="192" t="s">
        <v>79</v>
      </c>
      <c r="C228" s="155">
        <v>6787.7000000000007</v>
      </c>
      <c r="D228" s="155">
        <v>546</v>
      </c>
      <c r="E228" s="155">
        <v>153.80000000000001</v>
      </c>
      <c r="F228" s="155">
        <v>6087.9000000000005</v>
      </c>
      <c r="G228" s="155">
        <v>0</v>
      </c>
      <c r="H228" s="155">
        <v>0</v>
      </c>
      <c r="I228" s="155">
        <v>34.700000000000003</v>
      </c>
      <c r="J228" s="155">
        <v>140.9</v>
      </c>
      <c r="K228" s="155">
        <v>5.9</v>
      </c>
      <c r="L228" s="155">
        <v>69.099999999999994</v>
      </c>
      <c r="M228" s="155">
        <v>0</v>
      </c>
      <c r="N228" s="155">
        <v>0.4</v>
      </c>
      <c r="O228" s="155">
        <v>56.300000000000004</v>
      </c>
      <c r="P228" s="155">
        <v>0.3</v>
      </c>
      <c r="Q228" s="155">
        <v>390.70000000000005</v>
      </c>
      <c r="R228" s="155">
        <v>0.4</v>
      </c>
      <c r="S228" s="155">
        <v>1324.7</v>
      </c>
      <c r="T228" s="170">
        <v>65.7</v>
      </c>
      <c r="U228" s="155">
        <v>3998.8</v>
      </c>
      <c r="V228" s="148"/>
      <c r="W228" s="148"/>
    </row>
    <row r="229" spans="1:23">
      <c r="A229" s="145">
        <v>222</v>
      </c>
      <c r="B229" s="150" t="s">
        <v>440</v>
      </c>
      <c r="C229" s="149">
        <v>2553.4</v>
      </c>
      <c r="D229" s="149">
        <v>391.9</v>
      </c>
      <c r="E229" s="149">
        <v>105.9</v>
      </c>
      <c r="F229" s="149">
        <v>2055.6000000000004</v>
      </c>
      <c r="G229" s="149">
        <v>0</v>
      </c>
      <c r="H229" s="149">
        <v>0</v>
      </c>
      <c r="I229" s="149">
        <v>24.7</v>
      </c>
      <c r="J229" s="149">
        <v>140.9</v>
      </c>
      <c r="K229" s="149">
        <v>5.9</v>
      </c>
      <c r="L229" s="149">
        <v>54.9</v>
      </c>
      <c r="M229" s="149">
        <v>0</v>
      </c>
      <c r="N229" s="149">
        <v>0.4</v>
      </c>
      <c r="O229" s="149">
        <v>47.300000000000004</v>
      </c>
      <c r="P229" s="149">
        <v>0.3</v>
      </c>
      <c r="Q229" s="149">
        <v>390.70000000000005</v>
      </c>
      <c r="R229" s="149">
        <v>0.4</v>
      </c>
      <c r="S229" s="149">
        <v>1324.4</v>
      </c>
      <c r="T229" s="149">
        <v>65.7</v>
      </c>
      <c r="U229" s="152"/>
      <c r="V229" s="148"/>
      <c r="W229" s="148"/>
    </row>
    <row r="230" spans="1:23">
      <c r="A230" s="145">
        <v>223</v>
      </c>
      <c r="B230" s="150" t="s">
        <v>441</v>
      </c>
      <c r="C230" s="149">
        <v>15.1</v>
      </c>
      <c r="D230" s="153"/>
      <c r="E230" s="149">
        <v>0</v>
      </c>
      <c r="F230" s="149">
        <v>15.1</v>
      </c>
      <c r="G230" s="153"/>
      <c r="H230" s="153"/>
      <c r="I230" s="153">
        <v>10</v>
      </c>
      <c r="J230" s="153"/>
      <c r="K230" s="153"/>
      <c r="L230" s="153"/>
      <c r="M230" s="153"/>
      <c r="N230" s="153"/>
      <c r="O230" s="153">
        <v>5.0999999999999996</v>
      </c>
      <c r="P230" s="153"/>
      <c r="Q230" s="153"/>
      <c r="R230" s="154"/>
      <c r="S230" s="153"/>
      <c r="T230" s="166"/>
      <c r="U230" s="152"/>
      <c r="V230" s="148"/>
      <c r="W230" s="148"/>
    </row>
    <row r="231" spans="1:23">
      <c r="A231" s="145">
        <v>224</v>
      </c>
      <c r="B231" s="150" t="s">
        <v>445</v>
      </c>
      <c r="C231" s="149">
        <v>4219.2000000000007</v>
      </c>
      <c r="D231" s="153">
        <v>154.1</v>
      </c>
      <c r="E231" s="149">
        <v>47.9</v>
      </c>
      <c r="F231" s="149">
        <v>4017.2000000000003</v>
      </c>
      <c r="G231" s="153"/>
      <c r="H231" s="153"/>
      <c r="I231" s="153"/>
      <c r="J231" s="153"/>
      <c r="K231" s="153"/>
      <c r="L231" s="153">
        <v>14.2</v>
      </c>
      <c r="M231" s="153"/>
      <c r="N231" s="153"/>
      <c r="O231" s="153">
        <v>3.9</v>
      </c>
      <c r="P231" s="153"/>
      <c r="Q231" s="153"/>
      <c r="R231" s="154"/>
      <c r="S231" s="153">
        <v>0.3</v>
      </c>
      <c r="T231" s="166"/>
      <c r="U231" s="152">
        <v>3998.8</v>
      </c>
      <c r="V231" s="148"/>
      <c r="W231" s="148"/>
    </row>
    <row r="232" spans="1:23">
      <c r="A232" s="145">
        <v>225</v>
      </c>
      <c r="B232" s="192" t="s">
        <v>80</v>
      </c>
      <c r="C232" s="155">
        <v>1553.1999999999998</v>
      </c>
      <c r="D232" s="155">
        <v>369.1</v>
      </c>
      <c r="E232" s="155">
        <v>104.30000000000001</v>
      </c>
      <c r="F232" s="155">
        <v>1079.8</v>
      </c>
      <c r="G232" s="155">
        <v>0</v>
      </c>
      <c r="H232" s="155">
        <v>0</v>
      </c>
      <c r="I232" s="155">
        <v>17</v>
      </c>
      <c r="J232" s="155">
        <v>48.4</v>
      </c>
      <c r="K232" s="155">
        <v>4.7</v>
      </c>
      <c r="L232" s="155">
        <v>44.3</v>
      </c>
      <c r="M232" s="155">
        <v>0</v>
      </c>
      <c r="N232" s="155">
        <v>0.4</v>
      </c>
      <c r="O232" s="155">
        <v>13.9</v>
      </c>
      <c r="P232" s="155">
        <v>0.3</v>
      </c>
      <c r="Q232" s="155">
        <v>0.1</v>
      </c>
      <c r="R232" s="155">
        <v>0.3</v>
      </c>
      <c r="S232" s="155">
        <v>64.5</v>
      </c>
      <c r="T232" s="170">
        <v>2.5</v>
      </c>
      <c r="U232" s="155">
        <v>883.4</v>
      </c>
      <c r="V232" s="148"/>
      <c r="W232" s="148"/>
    </row>
    <row r="233" spans="1:23">
      <c r="A233" s="145">
        <v>226</v>
      </c>
      <c r="B233" s="150" t="s">
        <v>440</v>
      </c>
      <c r="C233" s="149">
        <v>472.2</v>
      </c>
      <c r="D233" s="149">
        <v>259.5</v>
      </c>
      <c r="E233" s="149">
        <v>70.2</v>
      </c>
      <c r="F233" s="149">
        <v>142.5</v>
      </c>
      <c r="G233" s="149">
        <v>0</v>
      </c>
      <c r="H233" s="149">
        <v>0</v>
      </c>
      <c r="I233" s="149">
        <v>3.2</v>
      </c>
      <c r="J233" s="149">
        <v>48.4</v>
      </c>
      <c r="K233" s="149">
        <v>3.7</v>
      </c>
      <c r="L233" s="149">
        <v>20.6</v>
      </c>
      <c r="M233" s="149">
        <v>0</v>
      </c>
      <c r="N233" s="149">
        <v>0.4</v>
      </c>
      <c r="O233" s="149">
        <v>2.9</v>
      </c>
      <c r="P233" s="149">
        <v>0.3</v>
      </c>
      <c r="Q233" s="149">
        <v>0.1</v>
      </c>
      <c r="R233" s="149">
        <v>0.3</v>
      </c>
      <c r="S233" s="149">
        <v>60.1</v>
      </c>
      <c r="T233" s="149">
        <v>2.5</v>
      </c>
      <c r="U233" s="152"/>
      <c r="V233" s="148"/>
      <c r="W233" s="148"/>
    </row>
    <row r="234" spans="1:23">
      <c r="A234" s="145">
        <v>227</v>
      </c>
      <c r="B234" s="150" t="s">
        <v>441</v>
      </c>
      <c r="C234" s="149">
        <v>31.900000000000002</v>
      </c>
      <c r="D234" s="153"/>
      <c r="E234" s="149">
        <v>0</v>
      </c>
      <c r="F234" s="149">
        <v>31.900000000000002</v>
      </c>
      <c r="G234" s="153"/>
      <c r="H234" s="153"/>
      <c r="I234" s="153">
        <v>13.8</v>
      </c>
      <c r="J234" s="153"/>
      <c r="K234" s="153">
        <v>0.5</v>
      </c>
      <c r="L234" s="153">
        <v>5.3</v>
      </c>
      <c r="M234" s="153"/>
      <c r="N234" s="153"/>
      <c r="O234" s="153">
        <v>8.1</v>
      </c>
      <c r="P234" s="153"/>
      <c r="Q234" s="153"/>
      <c r="R234" s="154"/>
      <c r="S234" s="153">
        <v>4.2</v>
      </c>
      <c r="T234" s="166"/>
      <c r="U234" s="152"/>
      <c r="V234" s="148"/>
      <c r="W234" s="148"/>
    </row>
    <row r="235" spans="1:23">
      <c r="A235" s="145">
        <v>228</v>
      </c>
      <c r="B235" s="150" t="s">
        <v>445</v>
      </c>
      <c r="C235" s="149">
        <v>1049.0999999999999</v>
      </c>
      <c r="D235" s="153">
        <v>109.6</v>
      </c>
      <c r="E235" s="149">
        <v>34.1</v>
      </c>
      <c r="F235" s="149">
        <v>905.4</v>
      </c>
      <c r="G235" s="153"/>
      <c r="H235" s="153"/>
      <c r="I235" s="153"/>
      <c r="J235" s="153"/>
      <c r="K235" s="153">
        <v>0.5</v>
      </c>
      <c r="L235" s="153">
        <v>18.399999999999999</v>
      </c>
      <c r="M235" s="153"/>
      <c r="N235" s="153"/>
      <c r="O235" s="153">
        <v>2.9</v>
      </c>
      <c r="P235" s="153"/>
      <c r="Q235" s="153"/>
      <c r="R235" s="154"/>
      <c r="S235" s="153">
        <v>0.2</v>
      </c>
      <c r="T235" s="166"/>
      <c r="U235" s="152">
        <v>883.4</v>
      </c>
      <c r="V235" s="148"/>
      <c r="W235" s="148"/>
    </row>
    <row r="236" spans="1:23">
      <c r="A236" s="145">
        <v>229</v>
      </c>
      <c r="B236" s="192" t="s">
        <v>81</v>
      </c>
      <c r="C236" s="155">
        <v>932.1</v>
      </c>
      <c r="D236" s="155">
        <v>228</v>
      </c>
      <c r="E236" s="155">
        <v>63.5</v>
      </c>
      <c r="F236" s="155">
        <v>640.6</v>
      </c>
      <c r="G236" s="155">
        <v>0</v>
      </c>
      <c r="H236" s="155">
        <v>0</v>
      </c>
      <c r="I236" s="155">
        <v>14</v>
      </c>
      <c r="J236" s="155">
        <v>18.100000000000001</v>
      </c>
      <c r="K236" s="155">
        <v>4.0999999999999996</v>
      </c>
      <c r="L236" s="155">
        <v>47.699999999999996</v>
      </c>
      <c r="M236" s="155">
        <v>0</v>
      </c>
      <c r="N236" s="155">
        <v>0.4</v>
      </c>
      <c r="O236" s="155">
        <v>4.4000000000000004</v>
      </c>
      <c r="P236" s="155">
        <v>0.2</v>
      </c>
      <c r="Q236" s="155">
        <v>0.1</v>
      </c>
      <c r="R236" s="155">
        <v>0.2</v>
      </c>
      <c r="S236" s="155">
        <v>44.300000000000004</v>
      </c>
      <c r="T236" s="170">
        <v>77.5</v>
      </c>
      <c r="U236" s="155">
        <v>429.6</v>
      </c>
      <c r="V236" s="148"/>
      <c r="W236" s="148"/>
    </row>
    <row r="237" spans="1:23">
      <c r="A237" s="145">
        <v>230</v>
      </c>
      <c r="B237" s="150" t="s">
        <v>440</v>
      </c>
      <c r="C237" s="149">
        <v>413.8</v>
      </c>
      <c r="D237" s="149">
        <v>177.4</v>
      </c>
      <c r="E237" s="149">
        <v>47.9</v>
      </c>
      <c r="F237" s="149">
        <v>188.5</v>
      </c>
      <c r="G237" s="149">
        <v>0</v>
      </c>
      <c r="H237" s="149">
        <v>0</v>
      </c>
      <c r="I237" s="149">
        <v>14</v>
      </c>
      <c r="J237" s="149">
        <v>18.100000000000001</v>
      </c>
      <c r="K237" s="149">
        <v>3.8</v>
      </c>
      <c r="L237" s="149">
        <v>29</v>
      </c>
      <c r="M237" s="149">
        <v>0</v>
      </c>
      <c r="N237" s="149">
        <v>0.4</v>
      </c>
      <c r="O237" s="149">
        <v>2.6</v>
      </c>
      <c r="P237" s="149">
        <v>0.2</v>
      </c>
      <c r="Q237" s="149">
        <v>0.1</v>
      </c>
      <c r="R237" s="149">
        <v>0.2</v>
      </c>
      <c r="S237" s="149">
        <v>42.6</v>
      </c>
      <c r="T237" s="149">
        <v>77.5</v>
      </c>
      <c r="U237" s="152"/>
      <c r="V237" s="148"/>
      <c r="W237" s="148"/>
    </row>
    <row r="238" spans="1:23">
      <c r="A238" s="145">
        <v>231</v>
      </c>
      <c r="B238" s="150" t="s">
        <v>441</v>
      </c>
      <c r="C238" s="149">
        <v>17.3</v>
      </c>
      <c r="D238" s="154"/>
      <c r="E238" s="149">
        <v>0</v>
      </c>
      <c r="F238" s="149">
        <v>17.3</v>
      </c>
      <c r="G238" s="154"/>
      <c r="H238" s="154"/>
      <c r="I238" s="154"/>
      <c r="J238" s="154"/>
      <c r="K238" s="154"/>
      <c r="L238" s="154">
        <v>14.8</v>
      </c>
      <c r="M238" s="154"/>
      <c r="N238" s="154"/>
      <c r="O238" s="154">
        <v>1</v>
      </c>
      <c r="P238" s="154"/>
      <c r="Q238" s="154"/>
      <c r="R238" s="154"/>
      <c r="S238" s="154">
        <v>1.5</v>
      </c>
      <c r="T238" s="156"/>
      <c r="U238" s="152"/>
      <c r="V238" s="148"/>
      <c r="W238" s="148"/>
    </row>
    <row r="239" spans="1:23">
      <c r="A239" s="145">
        <v>232</v>
      </c>
      <c r="B239" s="150" t="s">
        <v>445</v>
      </c>
      <c r="C239" s="149">
        <v>501</v>
      </c>
      <c r="D239" s="154">
        <v>50.6</v>
      </c>
      <c r="E239" s="149">
        <v>15.6</v>
      </c>
      <c r="F239" s="149">
        <v>434.8</v>
      </c>
      <c r="G239" s="154"/>
      <c r="H239" s="154"/>
      <c r="I239" s="154"/>
      <c r="J239" s="154"/>
      <c r="K239" s="154">
        <v>0.3</v>
      </c>
      <c r="L239" s="154">
        <v>3.9</v>
      </c>
      <c r="M239" s="154"/>
      <c r="N239" s="154"/>
      <c r="O239" s="154">
        <v>0.8</v>
      </c>
      <c r="P239" s="154"/>
      <c r="Q239" s="154"/>
      <c r="R239" s="154"/>
      <c r="S239" s="154">
        <v>0.2</v>
      </c>
      <c r="T239" s="156"/>
      <c r="U239" s="152">
        <v>429.6</v>
      </c>
      <c r="V239" s="148"/>
      <c r="W239" s="148"/>
    </row>
    <row r="240" spans="1:23">
      <c r="A240" s="145">
        <v>233</v>
      </c>
      <c r="B240" s="192" t="s">
        <v>82</v>
      </c>
      <c r="C240" s="155">
        <v>1059.8</v>
      </c>
      <c r="D240" s="155">
        <v>239.5</v>
      </c>
      <c r="E240" s="155">
        <v>67.599999999999994</v>
      </c>
      <c r="F240" s="155">
        <v>752.7</v>
      </c>
      <c r="G240" s="155">
        <v>0</v>
      </c>
      <c r="H240" s="155">
        <v>0</v>
      </c>
      <c r="I240" s="155">
        <v>32.299999999999997</v>
      </c>
      <c r="J240" s="155">
        <v>45.4</v>
      </c>
      <c r="K240" s="155">
        <v>4.2</v>
      </c>
      <c r="L240" s="155">
        <v>22.8</v>
      </c>
      <c r="M240" s="155">
        <v>0</v>
      </c>
      <c r="N240" s="155">
        <v>0.4</v>
      </c>
      <c r="O240" s="155">
        <v>7.7</v>
      </c>
      <c r="P240" s="155">
        <v>0.4</v>
      </c>
      <c r="Q240" s="155">
        <v>0.7</v>
      </c>
      <c r="R240" s="155">
        <v>0.2</v>
      </c>
      <c r="S240" s="155">
        <v>81.399999999999991</v>
      </c>
      <c r="T240" s="170">
        <v>2.5</v>
      </c>
      <c r="U240" s="155">
        <v>554.70000000000005</v>
      </c>
      <c r="V240" s="148"/>
      <c r="W240" s="148"/>
    </row>
    <row r="241" spans="1:23">
      <c r="A241" s="145">
        <v>234</v>
      </c>
      <c r="B241" s="150" t="s">
        <v>440</v>
      </c>
      <c r="C241" s="149">
        <v>371</v>
      </c>
      <c r="D241" s="149">
        <v>166.3</v>
      </c>
      <c r="E241" s="149">
        <v>44.9</v>
      </c>
      <c r="F241" s="149">
        <v>159.80000000000001</v>
      </c>
      <c r="G241" s="149">
        <v>0</v>
      </c>
      <c r="H241" s="149">
        <v>0</v>
      </c>
      <c r="I241" s="149">
        <v>26.3</v>
      </c>
      <c r="J241" s="149">
        <v>42.4</v>
      </c>
      <c r="K241" s="149">
        <v>3.5</v>
      </c>
      <c r="L241" s="149">
        <v>16.3</v>
      </c>
      <c r="M241" s="149">
        <v>0</v>
      </c>
      <c r="N241" s="149">
        <v>0.4</v>
      </c>
      <c r="O241" s="149">
        <v>2.8</v>
      </c>
      <c r="P241" s="149">
        <v>0.3</v>
      </c>
      <c r="Q241" s="149">
        <v>0.5</v>
      </c>
      <c r="R241" s="149">
        <v>0.2</v>
      </c>
      <c r="S241" s="149">
        <v>64.599999999999994</v>
      </c>
      <c r="T241" s="149">
        <v>2.5</v>
      </c>
      <c r="U241" s="152"/>
      <c r="V241" s="148"/>
      <c r="W241" s="148"/>
    </row>
    <row r="242" spans="1:23">
      <c r="A242" s="145">
        <v>235</v>
      </c>
      <c r="B242" s="150" t="s">
        <v>441</v>
      </c>
      <c r="C242" s="149">
        <v>30.799999999999997</v>
      </c>
      <c r="D242" s="164"/>
      <c r="E242" s="149">
        <v>0</v>
      </c>
      <c r="F242" s="149">
        <v>30.799999999999997</v>
      </c>
      <c r="G242" s="164"/>
      <c r="H242" s="164"/>
      <c r="I242" s="153">
        <v>6</v>
      </c>
      <c r="J242" s="153">
        <v>3</v>
      </c>
      <c r="K242" s="153"/>
      <c r="L242" s="153">
        <v>1.2</v>
      </c>
      <c r="M242" s="153"/>
      <c r="N242" s="153"/>
      <c r="O242" s="153">
        <v>3.7</v>
      </c>
      <c r="P242" s="153">
        <v>0.1</v>
      </c>
      <c r="Q242" s="153">
        <v>0.2</v>
      </c>
      <c r="R242" s="154"/>
      <c r="S242" s="153">
        <v>16.600000000000001</v>
      </c>
      <c r="T242" s="165"/>
      <c r="U242" s="152"/>
      <c r="V242" s="148"/>
      <c r="W242" s="148"/>
    </row>
    <row r="243" spans="1:23">
      <c r="A243" s="145">
        <v>236</v>
      </c>
      <c r="B243" s="150" t="s">
        <v>445</v>
      </c>
      <c r="C243" s="149">
        <v>658</v>
      </c>
      <c r="D243" s="153">
        <v>73.2</v>
      </c>
      <c r="E243" s="149">
        <v>22.7</v>
      </c>
      <c r="F243" s="149">
        <v>562.1</v>
      </c>
      <c r="G243" s="164"/>
      <c r="H243" s="164"/>
      <c r="I243" s="153"/>
      <c r="J243" s="153"/>
      <c r="K243" s="153">
        <v>0.7</v>
      </c>
      <c r="L243" s="153">
        <v>5.3</v>
      </c>
      <c r="M243" s="153"/>
      <c r="N243" s="153"/>
      <c r="O243" s="153">
        <v>1.2</v>
      </c>
      <c r="P243" s="153"/>
      <c r="Q243" s="153"/>
      <c r="R243" s="154"/>
      <c r="S243" s="153">
        <v>0.2</v>
      </c>
      <c r="T243" s="165"/>
      <c r="U243" s="152">
        <v>554.70000000000005</v>
      </c>
      <c r="V243" s="148"/>
      <c r="W243" s="148"/>
    </row>
    <row r="244" spans="1:23">
      <c r="A244" s="145">
        <v>237</v>
      </c>
      <c r="B244" s="192" t="s">
        <v>83</v>
      </c>
      <c r="C244" s="155">
        <v>1207.7</v>
      </c>
      <c r="D244" s="155">
        <v>288.89999999999998</v>
      </c>
      <c r="E244" s="155">
        <v>81.400000000000006</v>
      </c>
      <c r="F244" s="155">
        <v>837.4</v>
      </c>
      <c r="G244" s="155">
        <v>0</v>
      </c>
      <c r="H244" s="155">
        <v>0</v>
      </c>
      <c r="I244" s="155">
        <v>5.9</v>
      </c>
      <c r="J244" s="155">
        <v>28.4</v>
      </c>
      <c r="K244" s="155">
        <v>4.3</v>
      </c>
      <c r="L244" s="155">
        <v>25.8</v>
      </c>
      <c r="M244" s="155">
        <v>0</v>
      </c>
      <c r="N244" s="155">
        <v>0.4</v>
      </c>
      <c r="O244" s="155">
        <v>11.8</v>
      </c>
      <c r="P244" s="155">
        <v>0.3</v>
      </c>
      <c r="Q244" s="155">
        <v>0.2</v>
      </c>
      <c r="R244" s="155">
        <v>0.2</v>
      </c>
      <c r="S244" s="155">
        <v>81.7</v>
      </c>
      <c r="T244" s="170">
        <v>2.5</v>
      </c>
      <c r="U244" s="155">
        <v>675.9</v>
      </c>
      <c r="V244" s="148"/>
      <c r="W244" s="148"/>
    </row>
    <row r="245" spans="1:23">
      <c r="A245" s="145">
        <v>238</v>
      </c>
      <c r="B245" s="150" t="s">
        <v>440</v>
      </c>
      <c r="C245" s="149">
        <v>382.2</v>
      </c>
      <c r="D245" s="149">
        <v>201.7</v>
      </c>
      <c r="E245" s="149">
        <v>54.5</v>
      </c>
      <c r="F245" s="149">
        <v>126</v>
      </c>
      <c r="G245" s="149">
        <v>0</v>
      </c>
      <c r="H245" s="149">
        <v>0</v>
      </c>
      <c r="I245" s="149">
        <v>5.9</v>
      </c>
      <c r="J245" s="149">
        <v>27</v>
      </c>
      <c r="K245" s="149">
        <v>3.5</v>
      </c>
      <c r="L245" s="149">
        <v>16.600000000000001</v>
      </c>
      <c r="M245" s="149">
        <v>0</v>
      </c>
      <c r="N245" s="149">
        <v>0.4</v>
      </c>
      <c r="O245" s="149">
        <v>2.8</v>
      </c>
      <c r="P245" s="149">
        <v>0.3</v>
      </c>
      <c r="Q245" s="149">
        <v>0.2</v>
      </c>
      <c r="R245" s="149">
        <v>0.2</v>
      </c>
      <c r="S245" s="149">
        <v>66.599999999999994</v>
      </c>
      <c r="T245" s="149">
        <v>2.5</v>
      </c>
      <c r="U245" s="152"/>
      <c r="V245" s="148"/>
      <c r="W245" s="148"/>
    </row>
    <row r="246" spans="1:23">
      <c r="A246" s="145">
        <v>239</v>
      </c>
      <c r="B246" s="150" t="s">
        <v>441</v>
      </c>
      <c r="C246" s="149">
        <v>25.9</v>
      </c>
      <c r="D246" s="154"/>
      <c r="E246" s="149">
        <v>0</v>
      </c>
      <c r="F246" s="149">
        <v>25.9</v>
      </c>
      <c r="G246" s="154"/>
      <c r="H246" s="154"/>
      <c r="I246" s="154"/>
      <c r="J246" s="154">
        <v>1.4</v>
      </c>
      <c r="K246" s="154"/>
      <c r="L246" s="154">
        <v>2.4</v>
      </c>
      <c r="M246" s="154"/>
      <c r="N246" s="154"/>
      <c r="O246" s="154">
        <v>7.2</v>
      </c>
      <c r="P246" s="154"/>
      <c r="Q246" s="154"/>
      <c r="R246" s="154"/>
      <c r="S246" s="154">
        <v>14.9</v>
      </c>
      <c r="T246" s="156"/>
      <c r="U246" s="152"/>
      <c r="V246" s="148"/>
      <c r="W246" s="148"/>
    </row>
    <row r="247" spans="1:23">
      <c r="A247" s="145">
        <v>240</v>
      </c>
      <c r="B247" s="150" t="s">
        <v>445</v>
      </c>
      <c r="C247" s="149">
        <v>799.6</v>
      </c>
      <c r="D247" s="154">
        <v>87.2</v>
      </c>
      <c r="E247" s="149">
        <v>26.9</v>
      </c>
      <c r="F247" s="149">
        <v>685.5</v>
      </c>
      <c r="G247" s="154"/>
      <c r="H247" s="154"/>
      <c r="I247" s="154"/>
      <c r="J247" s="154"/>
      <c r="K247" s="154">
        <v>0.8</v>
      </c>
      <c r="L247" s="154">
        <v>6.8</v>
      </c>
      <c r="M247" s="154"/>
      <c r="N247" s="154"/>
      <c r="O247" s="154">
        <v>1.8</v>
      </c>
      <c r="P247" s="154"/>
      <c r="Q247" s="154"/>
      <c r="R247" s="154"/>
      <c r="S247" s="154">
        <v>0.2</v>
      </c>
      <c r="T247" s="156"/>
      <c r="U247" s="152">
        <v>675.9</v>
      </c>
      <c r="V247" s="148"/>
      <c r="W247" s="148"/>
    </row>
    <row r="248" spans="1:23">
      <c r="A248" s="145">
        <v>241</v>
      </c>
      <c r="B248" s="192" t="s">
        <v>84</v>
      </c>
      <c r="C248" s="155">
        <v>1078.5</v>
      </c>
      <c r="D248" s="155">
        <v>268.39999999999998</v>
      </c>
      <c r="E248" s="155">
        <v>76</v>
      </c>
      <c r="F248" s="155">
        <v>734.09999999999991</v>
      </c>
      <c r="G248" s="155">
        <v>0</v>
      </c>
      <c r="H248" s="155">
        <v>0</v>
      </c>
      <c r="I248" s="155">
        <v>31.3</v>
      </c>
      <c r="J248" s="155">
        <v>43</v>
      </c>
      <c r="K248" s="155">
        <v>4.0999999999999996</v>
      </c>
      <c r="L248" s="155">
        <v>26.9</v>
      </c>
      <c r="M248" s="155">
        <v>0</v>
      </c>
      <c r="N248" s="155">
        <v>0.4</v>
      </c>
      <c r="O248" s="155">
        <v>32.9</v>
      </c>
      <c r="P248" s="155">
        <v>0.3</v>
      </c>
      <c r="Q248" s="155">
        <v>0.3</v>
      </c>
      <c r="R248" s="155">
        <v>0.2</v>
      </c>
      <c r="S248" s="155">
        <v>73.900000000000006</v>
      </c>
      <c r="T248" s="170">
        <v>2.5</v>
      </c>
      <c r="U248" s="155">
        <v>518.29999999999995</v>
      </c>
      <c r="V248" s="148"/>
      <c r="W248" s="148"/>
    </row>
    <row r="249" spans="1:23">
      <c r="A249" s="145">
        <v>242</v>
      </c>
      <c r="B249" s="150" t="s">
        <v>440</v>
      </c>
      <c r="C249" s="149">
        <v>426.5</v>
      </c>
      <c r="D249" s="149">
        <v>184.2</v>
      </c>
      <c r="E249" s="149">
        <v>49.8</v>
      </c>
      <c r="F249" s="149">
        <v>192.5</v>
      </c>
      <c r="G249" s="149">
        <v>0</v>
      </c>
      <c r="H249" s="149">
        <v>0</v>
      </c>
      <c r="I249" s="149">
        <v>27.8</v>
      </c>
      <c r="J249" s="149">
        <v>38.5</v>
      </c>
      <c r="K249" s="149">
        <v>3.8</v>
      </c>
      <c r="L249" s="149">
        <v>20.8</v>
      </c>
      <c r="M249" s="149">
        <v>0</v>
      </c>
      <c r="N249" s="149">
        <v>0.4</v>
      </c>
      <c r="O249" s="149">
        <v>28.1</v>
      </c>
      <c r="P249" s="149">
        <v>0.3</v>
      </c>
      <c r="Q249" s="149">
        <v>0.3</v>
      </c>
      <c r="R249" s="149">
        <v>0.2</v>
      </c>
      <c r="S249" s="149">
        <v>69.8</v>
      </c>
      <c r="T249" s="149">
        <v>2.5</v>
      </c>
      <c r="U249" s="152"/>
      <c r="V249" s="148"/>
      <c r="W249" s="148"/>
    </row>
    <row r="250" spans="1:23">
      <c r="A250" s="145">
        <v>243</v>
      </c>
      <c r="B250" s="150" t="s">
        <v>441</v>
      </c>
      <c r="C250" s="149">
        <v>15.2</v>
      </c>
      <c r="D250" s="164"/>
      <c r="E250" s="149">
        <v>0</v>
      </c>
      <c r="F250" s="149">
        <v>15.2</v>
      </c>
      <c r="G250" s="164"/>
      <c r="H250" s="164"/>
      <c r="I250" s="153">
        <v>3.5</v>
      </c>
      <c r="J250" s="153">
        <v>4.5</v>
      </c>
      <c r="K250" s="164"/>
      <c r="L250" s="153"/>
      <c r="M250" s="164"/>
      <c r="N250" s="164"/>
      <c r="O250" s="153">
        <v>3.5</v>
      </c>
      <c r="P250" s="164"/>
      <c r="Q250" s="153"/>
      <c r="R250" s="154"/>
      <c r="S250" s="153">
        <v>3.7</v>
      </c>
      <c r="T250" s="166"/>
      <c r="U250" s="152"/>
      <c r="V250" s="148"/>
      <c r="W250" s="148"/>
    </row>
    <row r="251" spans="1:23">
      <c r="A251" s="145">
        <v>244</v>
      </c>
      <c r="B251" s="150" t="s">
        <v>445</v>
      </c>
      <c r="C251" s="149">
        <v>636.79999999999995</v>
      </c>
      <c r="D251" s="153">
        <v>84.2</v>
      </c>
      <c r="E251" s="149">
        <v>26.2</v>
      </c>
      <c r="F251" s="149">
        <v>526.4</v>
      </c>
      <c r="G251" s="164"/>
      <c r="H251" s="164"/>
      <c r="I251" s="164"/>
      <c r="J251" s="153"/>
      <c r="K251" s="153">
        <v>0.3</v>
      </c>
      <c r="L251" s="153">
        <v>6.1</v>
      </c>
      <c r="M251" s="153"/>
      <c r="N251" s="153"/>
      <c r="O251" s="153">
        <v>1.3</v>
      </c>
      <c r="P251" s="164"/>
      <c r="Q251" s="153"/>
      <c r="R251" s="154"/>
      <c r="S251" s="153">
        <v>0.4</v>
      </c>
      <c r="T251" s="166"/>
      <c r="U251" s="152">
        <v>518.29999999999995</v>
      </c>
      <c r="V251" s="148"/>
      <c r="W251" s="148"/>
    </row>
    <row r="252" spans="1:23">
      <c r="A252" s="145">
        <v>245</v>
      </c>
      <c r="B252" s="192" t="s">
        <v>85</v>
      </c>
      <c r="C252" s="155">
        <v>582</v>
      </c>
      <c r="D252" s="155">
        <v>182.5</v>
      </c>
      <c r="E252" s="155">
        <v>51.5</v>
      </c>
      <c r="F252" s="155">
        <v>348</v>
      </c>
      <c r="G252" s="155">
        <v>0</v>
      </c>
      <c r="H252" s="155">
        <v>0</v>
      </c>
      <c r="I252" s="155">
        <v>14.6</v>
      </c>
      <c r="J252" s="155">
        <v>23.8</v>
      </c>
      <c r="K252" s="155">
        <v>4.0999999999999996</v>
      </c>
      <c r="L252" s="155">
        <v>20.8</v>
      </c>
      <c r="M252" s="155">
        <v>0</v>
      </c>
      <c r="N252" s="155">
        <v>0.4</v>
      </c>
      <c r="O252" s="155">
        <v>3</v>
      </c>
      <c r="P252" s="155">
        <v>0.2</v>
      </c>
      <c r="Q252" s="155">
        <v>0.1</v>
      </c>
      <c r="R252" s="155">
        <v>0.1</v>
      </c>
      <c r="S252" s="155">
        <v>38.800000000000004</v>
      </c>
      <c r="T252" s="170">
        <v>2.5</v>
      </c>
      <c r="U252" s="155">
        <v>239.6</v>
      </c>
      <c r="V252" s="148"/>
      <c r="W252" s="148"/>
    </row>
    <row r="253" spans="1:23">
      <c r="A253" s="145">
        <v>246</v>
      </c>
      <c r="B253" s="150" t="s">
        <v>440</v>
      </c>
      <c r="C253" s="149">
        <v>260.7</v>
      </c>
      <c r="D253" s="149">
        <v>126.5</v>
      </c>
      <c r="E253" s="149">
        <v>34.200000000000003</v>
      </c>
      <c r="F253" s="149">
        <v>100</v>
      </c>
      <c r="G253" s="149">
        <v>0</v>
      </c>
      <c r="H253" s="149">
        <v>0</v>
      </c>
      <c r="I253" s="149">
        <v>12.1</v>
      </c>
      <c r="J253" s="149">
        <v>23.8</v>
      </c>
      <c r="K253" s="149">
        <v>3.8</v>
      </c>
      <c r="L253" s="149">
        <v>18.7</v>
      </c>
      <c r="M253" s="149">
        <v>0</v>
      </c>
      <c r="N253" s="149">
        <v>0.4</v>
      </c>
      <c r="O253" s="149">
        <v>2.6</v>
      </c>
      <c r="P253" s="149">
        <v>0.2</v>
      </c>
      <c r="Q253" s="149">
        <v>0.1</v>
      </c>
      <c r="R253" s="149">
        <v>0.1</v>
      </c>
      <c r="S253" s="149">
        <v>35.700000000000003</v>
      </c>
      <c r="T253" s="149">
        <v>2.5</v>
      </c>
      <c r="U253" s="152"/>
      <c r="V253" s="148"/>
      <c r="W253" s="148"/>
    </row>
    <row r="254" spans="1:23">
      <c r="A254" s="145">
        <v>247</v>
      </c>
      <c r="B254" s="150" t="s">
        <v>441</v>
      </c>
      <c r="C254" s="149">
        <v>5.4</v>
      </c>
      <c r="D254" s="154"/>
      <c r="E254" s="149">
        <v>0</v>
      </c>
      <c r="F254" s="149">
        <v>5.4</v>
      </c>
      <c r="G254" s="154"/>
      <c r="H254" s="154"/>
      <c r="I254" s="154">
        <v>2.5</v>
      </c>
      <c r="J254" s="154"/>
      <c r="K254" s="154"/>
      <c r="L254" s="154"/>
      <c r="M254" s="154"/>
      <c r="N254" s="154"/>
      <c r="O254" s="154"/>
      <c r="P254" s="154"/>
      <c r="Q254" s="154"/>
      <c r="R254" s="154"/>
      <c r="S254" s="154">
        <v>2.9</v>
      </c>
      <c r="T254" s="156"/>
      <c r="U254" s="152"/>
      <c r="V254" s="148"/>
      <c r="W254" s="148"/>
    </row>
    <row r="255" spans="1:23">
      <c r="A255" s="145">
        <v>248</v>
      </c>
      <c r="B255" s="150" t="s">
        <v>445</v>
      </c>
      <c r="C255" s="149">
        <v>315.89999999999998</v>
      </c>
      <c r="D255" s="154">
        <v>56</v>
      </c>
      <c r="E255" s="149">
        <v>17.3</v>
      </c>
      <c r="F255" s="149">
        <v>242.6</v>
      </c>
      <c r="G255" s="154"/>
      <c r="H255" s="154"/>
      <c r="I255" s="154"/>
      <c r="J255" s="154"/>
      <c r="K255" s="154">
        <v>0.3</v>
      </c>
      <c r="L255" s="154">
        <v>2.1</v>
      </c>
      <c r="M255" s="154"/>
      <c r="N255" s="154"/>
      <c r="O255" s="154">
        <v>0.4</v>
      </c>
      <c r="P255" s="154"/>
      <c r="Q255" s="154"/>
      <c r="R255" s="154"/>
      <c r="S255" s="154">
        <v>0.2</v>
      </c>
      <c r="T255" s="156"/>
      <c r="U255" s="152">
        <v>239.6</v>
      </c>
      <c r="V255" s="148"/>
      <c r="W255" s="148"/>
    </row>
    <row r="256" spans="1:23">
      <c r="A256" s="145">
        <v>249</v>
      </c>
      <c r="B256" s="192" t="s">
        <v>86</v>
      </c>
      <c r="C256" s="155">
        <v>707.80000000000007</v>
      </c>
      <c r="D256" s="155">
        <v>222.1</v>
      </c>
      <c r="E256" s="155">
        <v>62.1</v>
      </c>
      <c r="F256" s="155">
        <v>423.59999999999997</v>
      </c>
      <c r="G256" s="155">
        <v>0</v>
      </c>
      <c r="H256" s="155">
        <v>0</v>
      </c>
      <c r="I256" s="155">
        <v>5</v>
      </c>
      <c r="J256" s="155">
        <v>23.1</v>
      </c>
      <c r="K256" s="155">
        <v>4.8999999999999995</v>
      </c>
      <c r="L256" s="155">
        <v>25.6</v>
      </c>
      <c r="M256" s="155">
        <v>0</v>
      </c>
      <c r="N256" s="155">
        <v>0.4</v>
      </c>
      <c r="O256" s="155">
        <v>14.5</v>
      </c>
      <c r="P256" s="155">
        <v>0.2</v>
      </c>
      <c r="Q256" s="155">
        <v>0.1</v>
      </c>
      <c r="R256" s="155">
        <v>0.2</v>
      </c>
      <c r="S256" s="155">
        <v>41.6</v>
      </c>
      <c r="T256" s="170">
        <v>32.5</v>
      </c>
      <c r="U256" s="155">
        <v>275.5</v>
      </c>
      <c r="V256" s="148"/>
      <c r="W256" s="148"/>
    </row>
    <row r="257" spans="1:23">
      <c r="A257" s="145">
        <v>250</v>
      </c>
      <c r="B257" s="150" t="s">
        <v>440</v>
      </c>
      <c r="C257" s="149">
        <v>328.6</v>
      </c>
      <c r="D257" s="149">
        <v>169.1</v>
      </c>
      <c r="E257" s="149">
        <v>45.7</v>
      </c>
      <c r="F257" s="149">
        <v>113.79999999999998</v>
      </c>
      <c r="G257" s="149">
        <v>0</v>
      </c>
      <c r="H257" s="149">
        <v>0</v>
      </c>
      <c r="I257" s="149">
        <v>5</v>
      </c>
      <c r="J257" s="149">
        <v>20</v>
      </c>
      <c r="K257" s="149">
        <v>3.8</v>
      </c>
      <c r="L257" s="149">
        <v>15.4</v>
      </c>
      <c r="M257" s="149">
        <v>0</v>
      </c>
      <c r="N257" s="149">
        <v>0.4</v>
      </c>
      <c r="O257" s="149">
        <v>2.6</v>
      </c>
      <c r="P257" s="149">
        <v>0.2</v>
      </c>
      <c r="Q257" s="149">
        <v>0.1</v>
      </c>
      <c r="R257" s="149">
        <v>0.2</v>
      </c>
      <c r="S257" s="149">
        <v>33.6</v>
      </c>
      <c r="T257" s="149">
        <v>32.5</v>
      </c>
      <c r="U257" s="152"/>
      <c r="V257" s="148"/>
      <c r="W257" s="148"/>
    </row>
    <row r="258" spans="1:23">
      <c r="A258" s="145">
        <v>251</v>
      </c>
      <c r="B258" s="150" t="s">
        <v>441</v>
      </c>
      <c r="C258" s="149">
        <v>30.1</v>
      </c>
      <c r="D258" s="154"/>
      <c r="E258" s="149">
        <v>0</v>
      </c>
      <c r="F258" s="149">
        <v>30.1</v>
      </c>
      <c r="G258" s="154"/>
      <c r="H258" s="154"/>
      <c r="I258" s="154"/>
      <c r="J258" s="154">
        <v>3.1</v>
      </c>
      <c r="K258" s="154">
        <v>0.8</v>
      </c>
      <c r="L258" s="154">
        <v>7.1</v>
      </c>
      <c r="M258" s="154"/>
      <c r="N258" s="154"/>
      <c r="O258" s="154">
        <v>11.3</v>
      </c>
      <c r="P258" s="154"/>
      <c r="Q258" s="154"/>
      <c r="R258" s="154"/>
      <c r="S258" s="154">
        <v>7.8</v>
      </c>
      <c r="T258" s="156"/>
      <c r="U258" s="152"/>
      <c r="V258" s="148"/>
      <c r="W258" s="148"/>
    </row>
    <row r="259" spans="1:23">
      <c r="A259" s="145">
        <v>252</v>
      </c>
      <c r="B259" s="150" t="s">
        <v>445</v>
      </c>
      <c r="C259" s="149">
        <v>349.1</v>
      </c>
      <c r="D259" s="154">
        <v>53</v>
      </c>
      <c r="E259" s="149">
        <v>16.399999999999999</v>
      </c>
      <c r="F259" s="149">
        <v>279.7</v>
      </c>
      <c r="G259" s="154"/>
      <c r="H259" s="154"/>
      <c r="I259" s="154"/>
      <c r="J259" s="154"/>
      <c r="K259" s="154">
        <v>0.3</v>
      </c>
      <c r="L259" s="154">
        <v>3.1</v>
      </c>
      <c r="M259" s="154"/>
      <c r="N259" s="154"/>
      <c r="O259" s="154">
        <v>0.6</v>
      </c>
      <c r="P259" s="154"/>
      <c r="Q259" s="154"/>
      <c r="R259" s="154"/>
      <c r="S259" s="154">
        <v>0.2</v>
      </c>
      <c r="T259" s="156"/>
      <c r="U259" s="152">
        <v>275.5</v>
      </c>
      <c r="V259" s="148"/>
      <c r="W259" s="148"/>
    </row>
    <row r="260" spans="1:23">
      <c r="A260" s="145">
        <v>253</v>
      </c>
      <c r="B260" s="192" t="s">
        <v>87</v>
      </c>
      <c r="C260" s="155">
        <v>1009.8</v>
      </c>
      <c r="D260" s="155">
        <v>292.8</v>
      </c>
      <c r="E260" s="155">
        <v>81.599999999999994</v>
      </c>
      <c r="F260" s="155">
        <v>635.4</v>
      </c>
      <c r="G260" s="155">
        <v>0</v>
      </c>
      <c r="H260" s="155">
        <v>0</v>
      </c>
      <c r="I260" s="155">
        <v>48.599999999999994</v>
      </c>
      <c r="J260" s="155">
        <v>69.5</v>
      </c>
      <c r="K260" s="155">
        <v>4.1000000000000005</v>
      </c>
      <c r="L260" s="155">
        <v>21.799999999999997</v>
      </c>
      <c r="M260" s="155">
        <v>0</v>
      </c>
      <c r="N260" s="155">
        <v>0.4</v>
      </c>
      <c r="O260" s="155">
        <v>11.200000000000001</v>
      </c>
      <c r="P260" s="155">
        <v>0.3</v>
      </c>
      <c r="Q260" s="155">
        <v>0.7</v>
      </c>
      <c r="R260" s="155">
        <v>0.3</v>
      </c>
      <c r="S260" s="155">
        <v>53.900000000000006</v>
      </c>
      <c r="T260" s="170">
        <v>2.5</v>
      </c>
      <c r="U260" s="155">
        <v>422.1</v>
      </c>
      <c r="V260" s="148"/>
      <c r="W260" s="148"/>
    </row>
    <row r="261" spans="1:23">
      <c r="A261" s="145">
        <v>254</v>
      </c>
      <c r="B261" s="150" t="s">
        <v>440</v>
      </c>
      <c r="C261" s="149">
        <v>484.49999999999994</v>
      </c>
      <c r="D261" s="149">
        <v>229.2</v>
      </c>
      <c r="E261" s="149">
        <v>61.9</v>
      </c>
      <c r="F261" s="149">
        <v>193.39999999999998</v>
      </c>
      <c r="G261" s="149">
        <v>0</v>
      </c>
      <c r="H261" s="149">
        <v>0</v>
      </c>
      <c r="I261" s="149">
        <v>45.199999999999996</v>
      </c>
      <c r="J261" s="149">
        <v>64.099999999999994</v>
      </c>
      <c r="K261" s="149">
        <v>3.7</v>
      </c>
      <c r="L261" s="149">
        <v>19.399999999999999</v>
      </c>
      <c r="M261" s="149">
        <v>0</v>
      </c>
      <c r="N261" s="149">
        <v>0.4</v>
      </c>
      <c r="O261" s="149">
        <v>3.1</v>
      </c>
      <c r="P261" s="149">
        <v>0.3</v>
      </c>
      <c r="Q261" s="149">
        <v>0.7</v>
      </c>
      <c r="R261" s="149">
        <v>0.3</v>
      </c>
      <c r="S261" s="149">
        <v>53.7</v>
      </c>
      <c r="T261" s="149">
        <v>2.5</v>
      </c>
      <c r="U261" s="152"/>
      <c r="V261" s="148"/>
      <c r="W261" s="148"/>
    </row>
    <row r="262" spans="1:23">
      <c r="A262" s="145">
        <v>255</v>
      </c>
      <c r="B262" s="150" t="s">
        <v>441</v>
      </c>
      <c r="C262" s="149">
        <v>16.5</v>
      </c>
      <c r="D262" s="154"/>
      <c r="E262" s="149">
        <v>0</v>
      </c>
      <c r="F262" s="149">
        <v>16.5</v>
      </c>
      <c r="G262" s="154"/>
      <c r="H262" s="154"/>
      <c r="I262" s="154">
        <v>3.4</v>
      </c>
      <c r="J262" s="154">
        <v>5.4</v>
      </c>
      <c r="K262" s="154"/>
      <c r="L262" s="154"/>
      <c r="M262" s="154"/>
      <c r="N262" s="154"/>
      <c r="O262" s="154">
        <v>7.7</v>
      </c>
      <c r="P262" s="154"/>
      <c r="Q262" s="154"/>
      <c r="R262" s="154"/>
      <c r="S262" s="154"/>
      <c r="T262" s="156"/>
      <c r="U262" s="152"/>
      <c r="V262" s="148"/>
      <c r="W262" s="148"/>
    </row>
    <row r="263" spans="1:23">
      <c r="A263" s="145">
        <v>256</v>
      </c>
      <c r="B263" s="150" t="s">
        <v>445</v>
      </c>
      <c r="C263" s="149">
        <v>508.8</v>
      </c>
      <c r="D263" s="154">
        <v>63.6</v>
      </c>
      <c r="E263" s="149">
        <v>19.7</v>
      </c>
      <c r="F263" s="149">
        <v>425.5</v>
      </c>
      <c r="G263" s="154"/>
      <c r="H263" s="154"/>
      <c r="I263" s="154"/>
      <c r="J263" s="154"/>
      <c r="K263" s="154">
        <v>0.4</v>
      </c>
      <c r="L263" s="154">
        <v>2.4</v>
      </c>
      <c r="M263" s="154"/>
      <c r="N263" s="154"/>
      <c r="O263" s="154">
        <v>0.4</v>
      </c>
      <c r="P263" s="154"/>
      <c r="Q263" s="154"/>
      <c r="R263" s="154"/>
      <c r="S263" s="154">
        <v>0.2</v>
      </c>
      <c r="T263" s="156"/>
      <c r="U263" s="152">
        <v>422.1</v>
      </c>
      <c r="V263" s="148"/>
      <c r="W263" s="148"/>
    </row>
    <row r="264" spans="1:23">
      <c r="A264" s="145">
        <v>257</v>
      </c>
      <c r="B264" s="192" t="s">
        <v>88</v>
      </c>
      <c r="C264" s="155">
        <v>699.89999999999986</v>
      </c>
      <c r="D264" s="155">
        <v>211.4</v>
      </c>
      <c r="E264" s="155">
        <v>59.400000000000006</v>
      </c>
      <c r="F264" s="155">
        <v>429.09999999999997</v>
      </c>
      <c r="G264" s="155">
        <v>0</v>
      </c>
      <c r="H264" s="155">
        <v>0</v>
      </c>
      <c r="I264" s="155">
        <v>11.7</v>
      </c>
      <c r="J264" s="155">
        <v>29.4</v>
      </c>
      <c r="K264" s="155">
        <v>4.0999999999999996</v>
      </c>
      <c r="L264" s="155">
        <v>32</v>
      </c>
      <c r="M264" s="155">
        <v>0</v>
      </c>
      <c r="N264" s="155">
        <v>0.4</v>
      </c>
      <c r="O264" s="155">
        <v>6.6999999999999993</v>
      </c>
      <c r="P264" s="155">
        <v>0.2</v>
      </c>
      <c r="Q264" s="155">
        <v>0.1</v>
      </c>
      <c r="R264" s="155">
        <v>0.2</v>
      </c>
      <c r="S264" s="155">
        <v>36.600000000000009</v>
      </c>
      <c r="T264" s="170">
        <v>2.5</v>
      </c>
      <c r="U264" s="155">
        <v>305.2</v>
      </c>
      <c r="V264" s="148"/>
      <c r="W264" s="148"/>
    </row>
    <row r="265" spans="1:23">
      <c r="A265" s="145">
        <v>258</v>
      </c>
      <c r="B265" s="150" t="s">
        <v>440</v>
      </c>
      <c r="C265" s="149">
        <v>304.89999999999998</v>
      </c>
      <c r="D265" s="149">
        <v>155.80000000000001</v>
      </c>
      <c r="E265" s="149">
        <v>42.1</v>
      </c>
      <c r="F265" s="149">
        <v>107</v>
      </c>
      <c r="G265" s="149">
        <v>0</v>
      </c>
      <c r="H265" s="149">
        <v>0</v>
      </c>
      <c r="I265" s="149">
        <v>7.5</v>
      </c>
      <c r="J265" s="149">
        <v>26.599999999999998</v>
      </c>
      <c r="K265" s="149">
        <v>3.8</v>
      </c>
      <c r="L265" s="149">
        <v>28.4</v>
      </c>
      <c r="M265" s="149">
        <v>0</v>
      </c>
      <c r="N265" s="149">
        <v>0.4</v>
      </c>
      <c r="O265" s="149">
        <v>2.6</v>
      </c>
      <c r="P265" s="149">
        <v>0.2</v>
      </c>
      <c r="Q265" s="149">
        <v>0.1</v>
      </c>
      <c r="R265" s="149">
        <v>0.2</v>
      </c>
      <c r="S265" s="149">
        <v>34.700000000000003</v>
      </c>
      <c r="T265" s="149">
        <v>2.5</v>
      </c>
      <c r="U265" s="152"/>
      <c r="V265" s="148"/>
      <c r="W265" s="148"/>
    </row>
    <row r="266" spans="1:23">
      <c r="A266" s="145">
        <v>259</v>
      </c>
      <c r="B266" s="150" t="s">
        <v>441</v>
      </c>
      <c r="C266" s="149">
        <v>12.2</v>
      </c>
      <c r="D266" s="164"/>
      <c r="E266" s="149">
        <v>0</v>
      </c>
      <c r="F266" s="149">
        <v>12.2</v>
      </c>
      <c r="G266" s="164"/>
      <c r="H266" s="164"/>
      <c r="I266" s="153">
        <v>4.2</v>
      </c>
      <c r="J266" s="153">
        <v>2.8</v>
      </c>
      <c r="K266" s="153"/>
      <c r="L266" s="153"/>
      <c r="M266" s="153"/>
      <c r="N266" s="153"/>
      <c r="O266" s="153">
        <v>3.5</v>
      </c>
      <c r="P266" s="153"/>
      <c r="Q266" s="153"/>
      <c r="R266" s="154"/>
      <c r="S266" s="153">
        <v>1.7</v>
      </c>
      <c r="T266" s="166"/>
      <c r="U266" s="152"/>
      <c r="V266" s="148"/>
      <c r="W266" s="148"/>
    </row>
    <row r="267" spans="1:23">
      <c r="A267" s="145">
        <v>260</v>
      </c>
      <c r="B267" s="150" t="s">
        <v>445</v>
      </c>
      <c r="C267" s="149">
        <v>382.79999999999995</v>
      </c>
      <c r="D267" s="153">
        <v>55.6</v>
      </c>
      <c r="E267" s="149">
        <v>17.3</v>
      </c>
      <c r="F267" s="149">
        <v>309.89999999999998</v>
      </c>
      <c r="G267" s="164"/>
      <c r="H267" s="164"/>
      <c r="I267" s="153"/>
      <c r="J267" s="153"/>
      <c r="K267" s="153">
        <v>0.3</v>
      </c>
      <c r="L267" s="153">
        <v>3.6</v>
      </c>
      <c r="M267" s="153"/>
      <c r="N267" s="153"/>
      <c r="O267" s="153">
        <v>0.6</v>
      </c>
      <c r="P267" s="153"/>
      <c r="Q267" s="153"/>
      <c r="R267" s="154"/>
      <c r="S267" s="153">
        <v>0.2</v>
      </c>
      <c r="T267" s="166"/>
      <c r="U267" s="152">
        <v>305.2</v>
      </c>
      <c r="V267" s="148"/>
      <c r="W267" s="148"/>
    </row>
    <row r="268" spans="1:23">
      <c r="A268" s="145">
        <v>261</v>
      </c>
      <c r="B268" s="192" t="s">
        <v>89</v>
      </c>
      <c r="C268" s="155">
        <v>1167.3000000000002</v>
      </c>
      <c r="D268" s="155">
        <v>323.70000000000005</v>
      </c>
      <c r="E268" s="155">
        <v>91.2</v>
      </c>
      <c r="F268" s="155">
        <v>752.4</v>
      </c>
      <c r="G268" s="155">
        <v>0</v>
      </c>
      <c r="H268" s="155">
        <v>0</v>
      </c>
      <c r="I268" s="155">
        <v>41.7</v>
      </c>
      <c r="J268" s="155">
        <v>49.1</v>
      </c>
      <c r="K268" s="155">
        <v>4.5</v>
      </c>
      <c r="L268" s="155">
        <v>63.2</v>
      </c>
      <c r="M268" s="155">
        <v>0</v>
      </c>
      <c r="N268" s="155">
        <v>0.4</v>
      </c>
      <c r="O268" s="155">
        <v>7.8000000000000007</v>
      </c>
      <c r="P268" s="155">
        <v>0.3</v>
      </c>
      <c r="Q268" s="155">
        <v>21</v>
      </c>
      <c r="R268" s="155">
        <v>0.3</v>
      </c>
      <c r="S268" s="155">
        <v>56.9</v>
      </c>
      <c r="T268" s="170">
        <v>32.5</v>
      </c>
      <c r="U268" s="155">
        <v>474.7</v>
      </c>
      <c r="V268" s="148"/>
      <c r="W268" s="148"/>
    </row>
    <row r="269" spans="1:23">
      <c r="A269" s="145">
        <v>262</v>
      </c>
      <c r="B269" s="150" t="s">
        <v>440</v>
      </c>
      <c r="C269" s="149">
        <v>548.90000000000009</v>
      </c>
      <c r="D269" s="149">
        <v>232.8</v>
      </c>
      <c r="E269" s="149">
        <v>63</v>
      </c>
      <c r="F269" s="149">
        <v>253.10000000000002</v>
      </c>
      <c r="G269" s="149">
        <v>0</v>
      </c>
      <c r="H269" s="149">
        <v>0</v>
      </c>
      <c r="I269" s="149">
        <v>41.7</v>
      </c>
      <c r="J269" s="149">
        <v>49.1</v>
      </c>
      <c r="K269" s="149">
        <v>3.6</v>
      </c>
      <c r="L269" s="149">
        <v>48.5</v>
      </c>
      <c r="M269" s="149">
        <v>0</v>
      </c>
      <c r="N269" s="149">
        <v>0.4</v>
      </c>
      <c r="O269" s="149">
        <v>2.9</v>
      </c>
      <c r="P269" s="149">
        <v>0.3</v>
      </c>
      <c r="Q269" s="149">
        <v>21</v>
      </c>
      <c r="R269" s="149">
        <v>0.3</v>
      </c>
      <c r="S269" s="149">
        <v>52.8</v>
      </c>
      <c r="T269" s="149">
        <v>32.5</v>
      </c>
      <c r="U269" s="152"/>
      <c r="V269" s="148"/>
      <c r="W269" s="148"/>
    </row>
    <row r="270" spans="1:23">
      <c r="A270" s="145">
        <v>263</v>
      </c>
      <c r="B270" s="150" t="s">
        <v>441</v>
      </c>
      <c r="C270" s="149">
        <v>13.9</v>
      </c>
      <c r="D270" s="164"/>
      <c r="E270" s="149">
        <v>0</v>
      </c>
      <c r="F270" s="149">
        <v>13.9</v>
      </c>
      <c r="G270" s="164"/>
      <c r="H270" s="164"/>
      <c r="I270" s="153"/>
      <c r="J270" s="153"/>
      <c r="K270" s="153">
        <v>0.3</v>
      </c>
      <c r="L270" s="153">
        <v>6.7</v>
      </c>
      <c r="M270" s="153"/>
      <c r="N270" s="153"/>
      <c r="O270" s="153">
        <v>3</v>
      </c>
      <c r="P270" s="153"/>
      <c r="Q270" s="153"/>
      <c r="R270" s="154"/>
      <c r="S270" s="153">
        <v>3.9</v>
      </c>
      <c r="T270" s="166"/>
      <c r="U270" s="152"/>
      <c r="V270" s="148"/>
      <c r="W270" s="148"/>
    </row>
    <row r="271" spans="1:23">
      <c r="A271" s="145">
        <v>264</v>
      </c>
      <c r="B271" s="150" t="s">
        <v>445</v>
      </c>
      <c r="C271" s="149">
        <v>604.5</v>
      </c>
      <c r="D271" s="153">
        <v>90.9</v>
      </c>
      <c r="E271" s="149">
        <v>28.2</v>
      </c>
      <c r="F271" s="149">
        <v>485.4</v>
      </c>
      <c r="G271" s="164"/>
      <c r="H271" s="164"/>
      <c r="I271" s="153"/>
      <c r="J271" s="153"/>
      <c r="K271" s="153">
        <v>0.6</v>
      </c>
      <c r="L271" s="153">
        <v>8</v>
      </c>
      <c r="M271" s="153"/>
      <c r="N271" s="153"/>
      <c r="O271" s="153">
        <v>1.9</v>
      </c>
      <c r="P271" s="153"/>
      <c r="Q271" s="153"/>
      <c r="R271" s="154"/>
      <c r="S271" s="153">
        <v>0.2</v>
      </c>
      <c r="T271" s="166"/>
      <c r="U271" s="152">
        <v>474.7</v>
      </c>
      <c r="V271" s="148"/>
      <c r="W271" s="148"/>
    </row>
    <row r="272" spans="1:23" ht="36">
      <c r="A272" s="145">
        <v>265</v>
      </c>
      <c r="B272" s="199" t="s">
        <v>468</v>
      </c>
      <c r="C272" s="164">
        <v>29905.1</v>
      </c>
      <c r="D272" s="164">
        <v>6913.9</v>
      </c>
      <c r="E272" s="164">
        <v>1941.1</v>
      </c>
      <c r="F272" s="164">
        <v>21050.100000000002</v>
      </c>
      <c r="G272" s="164">
        <v>0</v>
      </c>
      <c r="H272" s="164">
        <v>0</v>
      </c>
      <c r="I272" s="164">
        <v>421.2</v>
      </c>
      <c r="J272" s="164">
        <v>665.4</v>
      </c>
      <c r="K272" s="164">
        <v>119.7</v>
      </c>
      <c r="L272" s="164">
        <v>701</v>
      </c>
      <c r="M272" s="164">
        <v>0</v>
      </c>
      <c r="N272" s="164">
        <v>12.899999999999999</v>
      </c>
      <c r="O272" s="164">
        <v>383.00000000000006</v>
      </c>
      <c r="P272" s="164">
        <v>33.9</v>
      </c>
      <c r="Q272" s="164">
        <v>423.5</v>
      </c>
      <c r="R272" s="164">
        <v>10.199999999999999</v>
      </c>
      <c r="S272" s="164">
        <v>4536.7999999999993</v>
      </c>
      <c r="T272" s="164">
        <v>707.7</v>
      </c>
      <c r="U272" s="164">
        <v>13034.8</v>
      </c>
      <c r="V272" s="148"/>
      <c r="W272" s="148"/>
    </row>
    <row r="273" spans="1:23">
      <c r="A273" s="145">
        <v>266</v>
      </c>
      <c r="B273" s="193" t="s">
        <v>440</v>
      </c>
      <c r="C273" s="164">
        <v>12806.2</v>
      </c>
      <c r="D273" s="164">
        <v>5134</v>
      </c>
      <c r="E273" s="164">
        <v>1387.6</v>
      </c>
      <c r="F273" s="164">
        <v>6284.6</v>
      </c>
      <c r="G273" s="164">
        <v>0</v>
      </c>
      <c r="H273" s="164">
        <v>0</v>
      </c>
      <c r="I273" s="164">
        <v>317.10000000000002</v>
      </c>
      <c r="J273" s="164">
        <v>574.4</v>
      </c>
      <c r="K273" s="164">
        <v>103.9</v>
      </c>
      <c r="L273" s="164">
        <v>546.6</v>
      </c>
      <c r="M273" s="164">
        <v>0</v>
      </c>
      <c r="N273" s="164">
        <v>12.599999999999998</v>
      </c>
      <c r="O273" s="164">
        <v>235.3</v>
      </c>
      <c r="P273" s="164">
        <v>32.299999999999997</v>
      </c>
      <c r="Q273" s="164">
        <v>420.3</v>
      </c>
      <c r="R273" s="164">
        <v>8.3999999999999986</v>
      </c>
      <c r="S273" s="164">
        <v>3326</v>
      </c>
      <c r="T273" s="164">
        <v>707.7</v>
      </c>
      <c r="U273" s="164">
        <v>0</v>
      </c>
      <c r="V273" s="148"/>
      <c r="W273" s="148"/>
    </row>
    <row r="274" spans="1:23">
      <c r="A274" s="145">
        <v>267</v>
      </c>
      <c r="B274" s="197" t="s">
        <v>441</v>
      </c>
      <c r="C274" s="164">
        <v>356.3</v>
      </c>
      <c r="D274" s="164">
        <v>0</v>
      </c>
      <c r="E274" s="164">
        <v>0</v>
      </c>
      <c r="F274" s="164">
        <v>356.3</v>
      </c>
      <c r="G274" s="164">
        <v>0</v>
      </c>
      <c r="H274" s="164">
        <v>0</v>
      </c>
      <c r="I274" s="164">
        <v>71.900000000000006</v>
      </c>
      <c r="J274" s="164">
        <v>79.099999999999994</v>
      </c>
      <c r="K274" s="164">
        <v>2.7</v>
      </c>
      <c r="L274" s="164">
        <v>43.5</v>
      </c>
      <c r="M274" s="164">
        <v>0</v>
      </c>
      <c r="N274" s="164">
        <v>0</v>
      </c>
      <c r="O274" s="164">
        <v>98.9</v>
      </c>
      <c r="P274" s="164">
        <v>0.1</v>
      </c>
      <c r="Q274" s="164">
        <v>1.4</v>
      </c>
      <c r="R274" s="164">
        <v>0</v>
      </c>
      <c r="S274" s="164">
        <v>58.7</v>
      </c>
      <c r="T274" s="164">
        <v>0</v>
      </c>
      <c r="U274" s="164">
        <v>0</v>
      </c>
      <c r="V274" s="148"/>
      <c r="W274" s="148"/>
    </row>
    <row r="275" spans="1:23">
      <c r="A275" s="145">
        <v>268</v>
      </c>
      <c r="B275" s="197" t="s">
        <v>445</v>
      </c>
      <c r="C275" s="164">
        <v>16742.599999999999</v>
      </c>
      <c r="D275" s="164">
        <v>1779.9</v>
      </c>
      <c r="E275" s="164">
        <v>553.5</v>
      </c>
      <c r="F275" s="164">
        <v>14409.2</v>
      </c>
      <c r="G275" s="164">
        <v>0</v>
      </c>
      <c r="H275" s="164">
        <v>0</v>
      </c>
      <c r="I275" s="164">
        <v>32.200000000000003</v>
      </c>
      <c r="J275" s="164">
        <v>11.9</v>
      </c>
      <c r="K275" s="164">
        <v>13.1</v>
      </c>
      <c r="L275" s="164">
        <v>110.89999999999999</v>
      </c>
      <c r="M275" s="164">
        <v>0</v>
      </c>
      <c r="N275" s="164">
        <v>0.3</v>
      </c>
      <c r="O275" s="164">
        <v>48.8</v>
      </c>
      <c r="P275" s="164">
        <v>1.5</v>
      </c>
      <c r="Q275" s="164">
        <v>1.8</v>
      </c>
      <c r="R275" s="164">
        <v>1.8</v>
      </c>
      <c r="S275" s="164">
        <v>1152.0999999999999</v>
      </c>
      <c r="T275" s="164">
        <v>0</v>
      </c>
      <c r="U275" s="164">
        <v>13034.8</v>
      </c>
      <c r="V275" s="148"/>
      <c r="W275" s="148"/>
    </row>
    <row r="276" spans="1:23" ht="24">
      <c r="A276" s="145">
        <v>269</v>
      </c>
      <c r="B276" s="171" t="s">
        <v>469</v>
      </c>
      <c r="C276" s="153">
        <v>34</v>
      </c>
      <c r="D276" s="153"/>
      <c r="E276" s="153"/>
      <c r="F276" s="149">
        <v>34</v>
      </c>
      <c r="G276" s="164"/>
      <c r="H276" s="164"/>
      <c r="I276" s="164"/>
      <c r="J276" s="153"/>
      <c r="K276" s="164"/>
      <c r="L276" s="164"/>
      <c r="M276" s="164"/>
      <c r="N276" s="164"/>
      <c r="O276" s="164"/>
      <c r="P276" s="164"/>
      <c r="Q276" s="164"/>
      <c r="R276" s="164"/>
      <c r="S276" s="153">
        <v>34</v>
      </c>
      <c r="T276" s="165"/>
      <c r="U276" s="152"/>
      <c r="V276" s="148"/>
      <c r="W276" s="148"/>
    </row>
    <row r="277" spans="1:23" ht="24">
      <c r="A277" s="145">
        <v>270</v>
      </c>
      <c r="B277" s="171" t="s">
        <v>470</v>
      </c>
      <c r="C277" s="153">
        <v>54</v>
      </c>
      <c r="D277" s="153"/>
      <c r="E277" s="153"/>
      <c r="F277" s="149">
        <v>54</v>
      </c>
      <c r="G277" s="164"/>
      <c r="H277" s="164"/>
      <c r="I277" s="164"/>
      <c r="J277" s="153"/>
      <c r="K277" s="164"/>
      <c r="L277" s="164"/>
      <c r="M277" s="164"/>
      <c r="N277" s="164"/>
      <c r="O277" s="164"/>
      <c r="P277" s="164"/>
      <c r="Q277" s="164"/>
      <c r="R277" s="164"/>
      <c r="S277" s="153">
        <v>54</v>
      </c>
      <c r="T277" s="165"/>
      <c r="U277" s="152"/>
      <c r="V277" s="148"/>
      <c r="W277" s="148"/>
    </row>
    <row r="278" spans="1:23" ht="24">
      <c r="A278" s="145">
        <v>271</v>
      </c>
      <c r="B278" s="172" t="s">
        <v>332</v>
      </c>
      <c r="C278" s="153">
        <v>220</v>
      </c>
      <c r="D278" s="153"/>
      <c r="E278" s="153"/>
      <c r="F278" s="149">
        <v>220</v>
      </c>
      <c r="G278" s="164"/>
      <c r="H278" s="164"/>
      <c r="I278" s="164"/>
      <c r="J278" s="153"/>
      <c r="K278" s="164"/>
      <c r="L278" s="164"/>
      <c r="M278" s="164"/>
      <c r="N278" s="164"/>
      <c r="O278" s="164"/>
      <c r="P278" s="164"/>
      <c r="Q278" s="164"/>
      <c r="R278" s="164"/>
      <c r="S278" s="153">
        <v>220</v>
      </c>
      <c r="T278" s="165"/>
      <c r="U278" s="152"/>
      <c r="V278" s="148"/>
      <c r="W278" s="148"/>
    </row>
    <row r="279" spans="1:23" ht="24">
      <c r="A279" s="145">
        <v>272</v>
      </c>
      <c r="B279" s="173" t="s">
        <v>346</v>
      </c>
      <c r="C279" s="153">
        <v>2400</v>
      </c>
      <c r="D279" s="153"/>
      <c r="E279" s="153"/>
      <c r="F279" s="149">
        <v>2400</v>
      </c>
      <c r="G279" s="154"/>
      <c r="H279" s="154"/>
      <c r="I279" s="154"/>
      <c r="J279" s="153"/>
      <c r="K279" s="154"/>
      <c r="L279" s="154"/>
      <c r="M279" s="154"/>
      <c r="N279" s="154"/>
      <c r="O279" s="154"/>
      <c r="P279" s="154"/>
      <c r="Q279" s="154"/>
      <c r="R279" s="154"/>
      <c r="S279" s="153">
        <v>2400</v>
      </c>
      <c r="T279" s="156"/>
      <c r="U279" s="152"/>
      <c r="V279" s="148"/>
      <c r="W279" s="148"/>
    </row>
    <row r="280" spans="1:23" ht="24">
      <c r="A280" s="145">
        <v>273</v>
      </c>
      <c r="B280" s="173" t="s">
        <v>363</v>
      </c>
      <c r="C280" s="153">
        <v>240</v>
      </c>
      <c r="D280" s="153"/>
      <c r="E280" s="153"/>
      <c r="F280" s="149">
        <v>240</v>
      </c>
      <c r="G280" s="154"/>
      <c r="H280" s="154"/>
      <c r="I280" s="154"/>
      <c r="J280" s="153"/>
      <c r="K280" s="154"/>
      <c r="L280" s="154"/>
      <c r="M280" s="154"/>
      <c r="N280" s="154"/>
      <c r="O280" s="154"/>
      <c r="P280" s="154"/>
      <c r="Q280" s="154"/>
      <c r="R280" s="154"/>
      <c r="S280" s="153">
        <v>240</v>
      </c>
      <c r="T280" s="156"/>
      <c r="U280" s="152"/>
      <c r="V280" s="148"/>
      <c r="W280" s="148"/>
    </row>
    <row r="281" spans="1:23" ht="24">
      <c r="A281" s="145">
        <v>274</v>
      </c>
      <c r="B281" s="173" t="s">
        <v>345</v>
      </c>
      <c r="C281" s="153">
        <v>500</v>
      </c>
      <c r="D281" s="153"/>
      <c r="E281" s="153"/>
      <c r="F281" s="149">
        <v>500</v>
      </c>
      <c r="G281" s="154"/>
      <c r="H281" s="154"/>
      <c r="I281" s="154"/>
      <c r="J281" s="153"/>
      <c r="K281" s="154"/>
      <c r="L281" s="154"/>
      <c r="M281" s="154"/>
      <c r="N281" s="154"/>
      <c r="O281" s="154"/>
      <c r="P281" s="154"/>
      <c r="Q281" s="154"/>
      <c r="R281" s="154"/>
      <c r="S281" s="153">
        <v>500</v>
      </c>
      <c r="T281" s="156"/>
      <c r="U281" s="152"/>
      <c r="V281" s="148"/>
      <c r="W281" s="148"/>
    </row>
    <row r="282" spans="1:23" ht="24">
      <c r="A282" s="145">
        <v>275</v>
      </c>
      <c r="B282" s="173" t="s">
        <v>342</v>
      </c>
      <c r="C282" s="153">
        <v>50</v>
      </c>
      <c r="D282" s="153"/>
      <c r="E282" s="153"/>
      <c r="F282" s="149">
        <v>50</v>
      </c>
      <c r="G282" s="154"/>
      <c r="H282" s="154"/>
      <c r="I282" s="154"/>
      <c r="J282" s="153"/>
      <c r="K282" s="154"/>
      <c r="L282" s="154"/>
      <c r="M282" s="154"/>
      <c r="N282" s="154"/>
      <c r="O282" s="154"/>
      <c r="P282" s="154"/>
      <c r="Q282" s="154"/>
      <c r="R282" s="154"/>
      <c r="S282" s="153">
        <v>50</v>
      </c>
      <c r="T282" s="156"/>
      <c r="U282" s="152"/>
      <c r="V282" s="148"/>
      <c r="W282" s="148"/>
    </row>
    <row r="283" spans="1:23" ht="24">
      <c r="A283" s="145">
        <v>276</v>
      </c>
      <c r="B283" s="173" t="s">
        <v>347</v>
      </c>
      <c r="C283" s="153">
        <v>350</v>
      </c>
      <c r="D283" s="153"/>
      <c r="E283" s="153"/>
      <c r="F283" s="149">
        <v>350</v>
      </c>
      <c r="G283" s="154"/>
      <c r="H283" s="154"/>
      <c r="I283" s="154"/>
      <c r="J283" s="153"/>
      <c r="K283" s="154"/>
      <c r="L283" s="154"/>
      <c r="M283" s="154"/>
      <c r="N283" s="154"/>
      <c r="O283" s="154"/>
      <c r="P283" s="154"/>
      <c r="Q283" s="154"/>
      <c r="R283" s="154"/>
      <c r="S283" s="153">
        <v>350</v>
      </c>
      <c r="T283" s="156"/>
      <c r="U283" s="152"/>
      <c r="V283" s="148"/>
      <c r="W283" s="148"/>
    </row>
    <row r="284" spans="1:23" ht="24">
      <c r="A284" s="145">
        <v>277</v>
      </c>
      <c r="B284" s="173" t="s">
        <v>471</v>
      </c>
      <c r="C284" s="153">
        <v>41</v>
      </c>
      <c r="D284" s="153"/>
      <c r="E284" s="153"/>
      <c r="F284" s="149">
        <v>41</v>
      </c>
      <c r="G284" s="154"/>
      <c r="H284" s="154"/>
      <c r="I284" s="154"/>
      <c r="J284" s="153"/>
      <c r="K284" s="154"/>
      <c r="L284" s="154"/>
      <c r="M284" s="154"/>
      <c r="N284" s="154"/>
      <c r="O284" s="154"/>
      <c r="P284" s="154"/>
      <c r="Q284" s="154"/>
      <c r="R284" s="154"/>
      <c r="S284" s="153">
        <v>41</v>
      </c>
      <c r="T284" s="156"/>
      <c r="U284" s="152"/>
      <c r="V284" s="148"/>
      <c r="W284" s="148"/>
    </row>
    <row r="285" spans="1:23">
      <c r="A285" s="145">
        <v>278</v>
      </c>
      <c r="B285" s="173" t="s">
        <v>472</v>
      </c>
      <c r="C285" s="153">
        <v>26</v>
      </c>
      <c r="D285" s="153"/>
      <c r="E285" s="153"/>
      <c r="F285" s="149">
        <v>26</v>
      </c>
      <c r="G285" s="154"/>
      <c r="H285" s="154"/>
      <c r="I285" s="154"/>
      <c r="J285" s="153"/>
      <c r="K285" s="154"/>
      <c r="L285" s="154"/>
      <c r="M285" s="154"/>
      <c r="N285" s="154"/>
      <c r="O285" s="154"/>
      <c r="P285" s="154"/>
      <c r="Q285" s="154"/>
      <c r="R285" s="154"/>
      <c r="S285" s="153">
        <v>26</v>
      </c>
      <c r="T285" s="156"/>
      <c r="U285" s="152"/>
      <c r="V285" s="148"/>
      <c r="W285" s="148"/>
    </row>
    <row r="286" spans="1:23">
      <c r="A286" s="145">
        <v>279</v>
      </c>
      <c r="B286" s="173" t="s">
        <v>351</v>
      </c>
      <c r="C286" s="153">
        <v>25</v>
      </c>
      <c r="D286" s="153"/>
      <c r="E286" s="153"/>
      <c r="F286" s="149">
        <v>25</v>
      </c>
      <c r="G286" s="154"/>
      <c r="H286" s="154"/>
      <c r="I286" s="154"/>
      <c r="J286" s="153"/>
      <c r="K286" s="154"/>
      <c r="L286" s="154"/>
      <c r="M286" s="154"/>
      <c r="N286" s="154"/>
      <c r="O286" s="154"/>
      <c r="P286" s="154"/>
      <c r="Q286" s="154"/>
      <c r="R286" s="154"/>
      <c r="S286" s="153">
        <v>25</v>
      </c>
      <c r="T286" s="156"/>
      <c r="U286" s="152"/>
      <c r="V286" s="148"/>
      <c r="W286" s="148"/>
    </row>
    <row r="287" spans="1:23" ht="24">
      <c r="A287" s="145">
        <v>280</v>
      </c>
      <c r="B287" s="173" t="s">
        <v>335</v>
      </c>
      <c r="C287" s="153">
        <v>150</v>
      </c>
      <c r="D287" s="153"/>
      <c r="E287" s="153"/>
      <c r="F287" s="149">
        <v>150</v>
      </c>
      <c r="G287" s="154"/>
      <c r="H287" s="154"/>
      <c r="I287" s="154"/>
      <c r="J287" s="153"/>
      <c r="K287" s="154"/>
      <c r="L287" s="154"/>
      <c r="M287" s="154"/>
      <c r="N287" s="154"/>
      <c r="O287" s="154"/>
      <c r="P287" s="154"/>
      <c r="Q287" s="154"/>
      <c r="R287" s="154"/>
      <c r="S287" s="153">
        <v>150</v>
      </c>
      <c r="T287" s="156"/>
      <c r="U287" s="152"/>
      <c r="V287" s="148"/>
      <c r="W287" s="148"/>
    </row>
    <row r="288" spans="1:23" ht="36">
      <c r="A288" s="145">
        <v>281</v>
      </c>
      <c r="B288" s="173" t="s">
        <v>473</v>
      </c>
      <c r="C288" s="153">
        <v>40</v>
      </c>
      <c r="D288" s="153"/>
      <c r="E288" s="153"/>
      <c r="F288" s="149">
        <v>40</v>
      </c>
      <c r="G288" s="154"/>
      <c r="H288" s="154"/>
      <c r="I288" s="154"/>
      <c r="J288" s="153"/>
      <c r="K288" s="154"/>
      <c r="L288" s="154"/>
      <c r="M288" s="154"/>
      <c r="N288" s="154"/>
      <c r="O288" s="154"/>
      <c r="P288" s="154"/>
      <c r="Q288" s="154"/>
      <c r="R288" s="154"/>
      <c r="S288" s="153">
        <v>40</v>
      </c>
      <c r="T288" s="156"/>
      <c r="U288" s="152"/>
      <c r="V288" s="148"/>
      <c r="W288" s="148"/>
    </row>
    <row r="289" spans="1:23" ht="24">
      <c r="A289" s="145">
        <v>282</v>
      </c>
      <c r="B289" s="173" t="s">
        <v>474</v>
      </c>
      <c r="C289" s="153">
        <v>138</v>
      </c>
      <c r="D289" s="153"/>
      <c r="E289" s="153"/>
      <c r="F289" s="149">
        <v>138</v>
      </c>
      <c r="G289" s="154"/>
      <c r="H289" s="154"/>
      <c r="I289" s="154"/>
      <c r="J289" s="153"/>
      <c r="K289" s="154"/>
      <c r="L289" s="154"/>
      <c r="M289" s="154"/>
      <c r="N289" s="154"/>
      <c r="O289" s="154"/>
      <c r="P289" s="154"/>
      <c r="Q289" s="154"/>
      <c r="R289" s="154"/>
      <c r="S289" s="153">
        <v>138</v>
      </c>
      <c r="T289" s="156"/>
      <c r="U289" s="152"/>
      <c r="V289" s="148"/>
      <c r="W289" s="148"/>
    </row>
    <row r="290" spans="1:23" ht="24">
      <c r="A290" s="145">
        <v>283</v>
      </c>
      <c r="B290" s="173" t="s">
        <v>356</v>
      </c>
      <c r="C290" s="154">
        <v>20</v>
      </c>
      <c r="D290" s="153"/>
      <c r="E290" s="154"/>
      <c r="F290" s="154">
        <v>20</v>
      </c>
      <c r="G290" s="154"/>
      <c r="H290" s="154"/>
      <c r="I290" s="154"/>
      <c r="J290" s="154"/>
      <c r="K290" s="154"/>
      <c r="L290" s="154"/>
      <c r="M290" s="154"/>
      <c r="N290" s="152"/>
      <c r="O290" s="152"/>
      <c r="P290" s="152"/>
      <c r="Q290" s="152"/>
      <c r="R290" s="152"/>
      <c r="S290" s="153">
        <v>20</v>
      </c>
      <c r="T290" s="200"/>
      <c r="U290" s="152"/>
      <c r="V290" s="148"/>
      <c r="W290" s="148"/>
    </row>
    <row r="291" spans="1:23" ht="36">
      <c r="A291" s="145">
        <v>284</v>
      </c>
      <c r="B291" s="173" t="s">
        <v>357</v>
      </c>
      <c r="C291" s="154">
        <v>75</v>
      </c>
      <c r="D291" s="153"/>
      <c r="E291" s="154"/>
      <c r="F291" s="154">
        <v>75</v>
      </c>
      <c r="G291" s="154"/>
      <c r="H291" s="154"/>
      <c r="I291" s="154"/>
      <c r="J291" s="154"/>
      <c r="K291" s="154"/>
      <c r="L291" s="154"/>
      <c r="M291" s="154"/>
      <c r="N291" s="152"/>
      <c r="O291" s="152"/>
      <c r="P291" s="152"/>
      <c r="Q291" s="152"/>
      <c r="R291" s="152"/>
      <c r="S291" s="153">
        <v>75</v>
      </c>
      <c r="T291" s="200"/>
      <c r="U291" s="152"/>
      <c r="V291" s="148"/>
      <c r="W291" s="148"/>
    </row>
    <row r="292" spans="1:23" ht="48">
      <c r="A292" s="145">
        <v>285</v>
      </c>
      <c r="B292" s="173" t="s">
        <v>358</v>
      </c>
      <c r="C292" s="154">
        <v>25</v>
      </c>
      <c r="D292" s="153"/>
      <c r="E292" s="154"/>
      <c r="F292" s="154">
        <v>25</v>
      </c>
      <c r="G292" s="154"/>
      <c r="H292" s="154"/>
      <c r="I292" s="154"/>
      <c r="J292" s="154"/>
      <c r="K292" s="154"/>
      <c r="L292" s="154"/>
      <c r="M292" s="154"/>
      <c r="N292" s="152"/>
      <c r="O292" s="152"/>
      <c r="P292" s="152"/>
      <c r="Q292" s="152"/>
      <c r="R292" s="152"/>
      <c r="S292" s="153">
        <v>25</v>
      </c>
      <c r="T292" s="200"/>
      <c r="U292" s="152"/>
      <c r="V292" s="148"/>
      <c r="W292" s="148"/>
    </row>
    <row r="293" spans="1:23" ht="24">
      <c r="A293" s="145">
        <v>286</v>
      </c>
      <c r="B293" s="173" t="s">
        <v>475</v>
      </c>
      <c r="C293" s="153">
        <v>40</v>
      </c>
      <c r="D293" s="153"/>
      <c r="E293" s="153"/>
      <c r="F293" s="149">
        <v>40</v>
      </c>
      <c r="G293" s="154"/>
      <c r="H293" s="154"/>
      <c r="I293" s="154"/>
      <c r="J293" s="153"/>
      <c r="K293" s="154"/>
      <c r="L293" s="154"/>
      <c r="M293" s="154"/>
      <c r="N293" s="154"/>
      <c r="O293" s="154"/>
      <c r="P293" s="154"/>
      <c r="Q293" s="154"/>
      <c r="R293" s="154"/>
      <c r="S293" s="153">
        <v>40</v>
      </c>
      <c r="T293" s="156"/>
      <c r="U293" s="152"/>
      <c r="V293" s="148"/>
      <c r="W293" s="148"/>
    </row>
    <row r="294" spans="1:23" ht="24">
      <c r="A294" s="145">
        <v>287</v>
      </c>
      <c r="B294" s="173" t="s">
        <v>476</v>
      </c>
      <c r="C294" s="153">
        <v>35</v>
      </c>
      <c r="D294" s="153"/>
      <c r="E294" s="153"/>
      <c r="F294" s="149">
        <v>35</v>
      </c>
      <c r="G294" s="154"/>
      <c r="H294" s="154"/>
      <c r="I294" s="154"/>
      <c r="J294" s="153"/>
      <c r="K294" s="154"/>
      <c r="L294" s="154"/>
      <c r="M294" s="154"/>
      <c r="N294" s="154"/>
      <c r="O294" s="154"/>
      <c r="P294" s="154"/>
      <c r="Q294" s="154"/>
      <c r="R294" s="154"/>
      <c r="S294" s="153">
        <v>35</v>
      </c>
      <c r="T294" s="156"/>
      <c r="U294" s="152"/>
      <c r="V294" s="148"/>
      <c r="W294" s="148"/>
    </row>
    <row r="295" spans="1:23" ht="36">
      <c r="A295" s="145">
        <v>288</v>
      </c>
      <c r="B295" s="173" t="s">
        <v>477</v>
      </c>
      <c r="C295" s="153">
        <v>35</v>
      </c>
      <c r="D295" s="153"/>
      <c r="E295" s="153"/>
      <c r="F295" s="149">
        <v>35</v>
      </c>
      <c r="G295" s="154"/>
      <c r="H295" s="154"/>
      <c r="I295" s="154"/>
      <c r="J295" s="153"/>
      <c r="K295" s="154"/>
      <c r="L295" s="154"/>
      <c r="M295" s="154"/>
      <c r="N295" s="154"/>
      <c r="O295" s="154"/>
      <c r="P295" s="154"/>
      <c r="Q295" s="154"/>
      <c r="R295" s="154"/>
      <c r="S295" s="153">
        <v>35</v>
      </c>
      <c r="T295" s="156"/>
      <c r="U295" s="152"/>
      <c r="V295" s="148"/>
      <c r="W295" s="148"/>
    </row>
    <row r="296" spans="1:23" ht="24">
      <c r="A296" s="145">
        <v>289</v>
      </c>
      <c r="B296" s="173" t="s">
        <v>478</v>
      </c>
      <c r="C296" s="153">
        <v>97</v>
      </c>
      <c r="D296" s="153"/>
      <c r="E296" s="153"/>
      <c r="F296" s="149">
        <v>97</v>
      </c>
      <c r="G296" s="154"/>
      <c r="H296" s="154"/>
      <c r="I296" s="154"/>
      <c r="J296" s="153"/>
      <c r="K296" s="154"/>
      <c r="L296" s="154"/>
      <c r="M296" s="154"/>
      <c r="N296" s="154"/>
      <c r="O296" s="154"/>
      <c r="P296" s="154"/>
      <c r="Q296" s="154"/>
      <c r="R296" s="154"/>
      <c r="S296" s="153">
        <v>97</v>
      </c>
      <c r="T296" s="156"/>
      <c r="U296" s="152"/>
      <c r="V296" s="148"/>
      <c r="W296" s="148"/>
    </row>
    <row r="297" spans="1:23" ht="36">
      <c r="A297" s="145">
        <v>290</v>
      </c>
      <c r="B297" s="173" t="s">
        <v>479</v>
      </c>
      <c r="C297" s="153">
        <v>0</v>
      </c>
      <c r="D297" s="153"/>
      <c r="E297" s="153"/>
      <c r="F297" s="149">
        <v>0</v>
      </c>
      <c r="G297" s="154"/>
      <c r="H297" s="154"/>
      <c r="I297" s="154"/>
      <c r="J297" s="153"/>
      <c r="K297" s="154"/>
      <c r="L297" s="154"/>
      <c r="M297" s="154"/>
      <c r="N297" s="154"/>
      <c r="O297" s="154"/>
      <c r="P297" s="154"/>
      <c r="Q297" s="154"/>
      <c r="R297" s="154"/>
      <c r="S297" s="153">
        <v>0</v>
      </c>
      <c r="T297" s="156"/>
      <c r="U297" s="152"/>
      <c r="V297" s="148"/>
      <c r="W297" s="148"/>
    </row>
    <row r="298" spans="1:23" ht="24">
      <c r="A298" s="145">
        <v>291</v>
      </c>
      <c r="B298" s="173" t="s">
        <v>480</v>
      </c>
      <c r="C298" s="153">
        <v>0</v>
      </c>
      <c r="D298" s="153"/>
      <c r="E298" s="153"/>
      <c r="F298" s="149">
        <v>0</v>
      </c>
      <c r="G298" s="154"/>
      <c r="H298" s="154"/>
      <c r="I298" s="154"/>
      <c r="J298" s="153"/>
      <c r="K298" s="154"/>
      <c r="L298" s="154"/>
      <c r="M298" s="154"/>
      <c r="N298" s="154"/>
      <c r="O298" s="154"/>
      <c r="P298" s="154"/>
      <c r="Q298" s="154"/>
      <c r="R298" s="154"/>
      <c r="S298" s="153">
        <v>0</v>
      </c>
      <c r="T298" s="156"/>
      <c r="U298" s="152"/>
      <c r="V298" s="148"/>
      <c r="W298" s="148"/>
    </row>
    <row r="299" spans="1:23" ht="36">
      <c r="A299" s="145">
        <v>292</v>
      </c>
      <c r="B299" s="173" t="s">
        <v>481</v>
      </c>
      <c r="C299" s="153">
        <v>560</v>
      </c>
      <c r="D299" s="153"/>
      <c r="E299" s="153"/>
      <c r="F299" s="149">
        <v>560</v>
      </c>
      <c r="G299" s="154"/>
      <c r="H299" s="154"/>
      <c r="I299" s="154"/>
      <c r="J299" s="153"/>
      <c r="K299" s="154"/>
      <c r="L299" s="154"/>
      <c r="M299" s="154"/>
      <c r="N299" s="154"/>
      <c r="O299" s="154"/>
      <c r="P299" s="154"/>
      <c r="Q299" s="154"/>
      <c r="R299" s="154"/>
      <c r="S299" s="153">
        <v>560</v>
      </c>
      <c r="T299" s="156"/>
      <c r="U299" s="152"/>
      <c r="V299" s="148"/>
      <c r="W299" s="148"/>
    </row>
    <row r="300" spans="1:23" ht="24">
      <c r="A300" s="145">
        <v>293</v>
      </c>
      <c r="B300" s="173" t="s">
        <v>482</v>
      </c>
      <c r="C300" s="153">
        <v>330</v>
      </c>
      <c r="D300" s="153"/>
      <c r="E300" s="153"/>
      <c r="F300" s="149">
        <v>330</v>
      </c>
      <c r="G300" s="154"/>
      <c r="H300" s="154"/>
      <c r="I300" s="154"/>
      <c r="J300" s="153"/>
      <c r="K300" s="154"/>
      <c r="L300" s="154"/>
      <c r="M300" s="154"/>
      <c r="N300" s="154"/>
      <c r="O300" s="154"/>
      <c r="P300" s="154"/>
      <c r="Q300" s="154"/>
      <c r="R300" s="154"/>
      <c r="S300" s="153">
        <v>330</v>
      </c>
      <c r="T300" s="156"/>
      <c r="U300" s="152"/>
      <c r="V300" s="148"/>
      <c r="W300" s="148"/>
    </row>
    <row r="301" spans="1:23" ht="24">
      <c r="A301" s="145">
        <v>294</v>
      </c>
      <c r="B301" s="173" t="s">
        <v>483</v>
      </c>
      <c r="C301" s="153">
        <v>150</v>
      </c>
      <c r="D301" s="153"/>
      <c r="E301" s="153"/>
      <c r="F301" s="149">
        <v>150</v>
      </c>
      <c r="G301" s="154"/>
      <c r="H301" s="154"/>
      <c r="I301" s="154"/>
      <c r="J301" s="153"/>
      <c r="K301" s="154"/>
      <c r="L301" s="154"/>
      <c r="M301" s="154"/>
      <c r="N301" s="154"/>
      <c r="O301" s="154"/>
      <c r="P301" s="154"/>
      <c r="Q301" s="154"/>
      <c r="R301" s="154"/>
      <c r="S301" s="153">
        <v>150</v>
      </c>
      <c r="T301" s="156"/>
      <c r="U301" s="152"/>
      <c r="V301" s="148"/>
      <c r="W301" s="148"/>
    </row>
    <row r="302" spans="1:23">
      <c r="A302" s="145">
        <v>295</v>
      </c>
      <c r="B302" s="173" t="s">
        <v>330</v>
      </c>
      <c r="C302" s="153">
        <v>40</v>
      </c>
      <c r="D302" s="153"/>
      <c r="E302" s="153"/>
      <c r="F302" s="149">
        <v>40</v>
      </c>
      <c r="G302" s="154"/>
      <c r="H302" s="154"/>
      <c r="I302" s="154"/>
      <c r="J302" s="153"/>
      <c r="K302" s="154"/>
      <c r="L302" s="154"/>
      <c r="M302" s="154"/>
      <c r="N302" s="154"/>
      <c r="O302" s="154"/>
      <c r="P302" s="154"/>
      <c r="Q302" s="154"/>
      <c r="R302" s="154"/>
      <c r="S302" s="153">
        <v>40</v>
      </c>
      <c r="T302" s="156"/>
      <c r="U302" s="152"/>
      <c r="V302" s="148"/>
      <c r="W302" s="148"/>
    </row>
    <row r="303" spans="1:23" ht="24">
      <c r="A303" s="145">
        <v>296</v>
      </c>
      <c r="B303" s="173" t="s">
        <v>331</v>
      </c>
      <c r="C303" s="153">
        <v>50</v>
      </c>
      <c r="D303" s="153"/>
      <c r="E303" s="153"/>
      <c r="F303" s="149">
        <v>50</v>
      </c>
      <c r="G303" s="154"/>
      <c r="H303" s="154"/>
      <c r="I303" s="154"/>
      <c r="J303" s="153"/>
      <c r="K303" s="154"/>
      <c r="L303" s="154"/>
      <c r="M303" s="154"/>
      <c r="N303" s="154"/>
      <c r="O303" s="154"/>
      <c r="P303" s="154"/>
      <c r="Q303" s="154"/>
      <c r="R303" s="154"/>
      <c r="S303" s="153">
        <v>50</v>
      </c>
      <c r="T303" s="156"/>
      <c r="U303" s="152"/>
      <c r="V303" s="148"/>
      <c r="W303" s="148"/>
    </row>
    <row r="304" spans="1:23">
      <c r="A304" s="145">
        <v>297</v>
      </c>
      <c r="B304" s="173" t="s">
        <v>484</v>
      </c>
      <c r="C304" s="153">
        <v>24.8</v>
      </c>
      <c r="D304" s="153"/>
      <c r="E304" s="153"/>
      <c r="F304" s="149">
        <v>24.8</v>
      </c>
      <c r="G304" s="154"/>
      <c r="H304" s="154"/>
      <c r="I304" s="154"/>
      <c r="J304" s="153"/>
      <c r="K304" s="154"/>
      <c r="L304" s="154"/>
      <c r="M304" s="154"/>
      <c r="N304" s="154"/>
      <c r="O304" s="154"/>
      <c r="P304" s="154"/>
      <c r="Q304" s="154"/>
      <c r="R304" s="154"/>
      <c r="S304" s="153">
        <v>24.8</v>
      </c>
      <c r="T304" s="156"/>
      <c r="U304" s="152"/>
      <c r="V304" s="148"/>
      <c r="W304" s="148"/>
    </row>
    <row r="305" spans="1:23" ht="24">
      <c r="A305" s="145">
        <v>298</v>
      </c>
      <c r="B305" s="173" t="s">
        <v>359</v>
      </c>
      <c r="C305" s="153">
        <v>28</v>
      </c>
      <c r="D305" s="153"/>
      <c r="E305" s="153"/>
      <c r="F305" s="149">
        <v>28</v>
      </c>
      <c r="G305" s="154"/>
      <c r="H305" s="154"/>
      <c r="I305" s="154"/>
      <c r="J305" s="153"/>
      <c r="K305" s="154"/>
      <c r="L305" s="154"/>
      <c r="M305" s="154"/>
      <c r="N305" s="154"/>
      <c r="O305" s="154"/>
      <c r="P305" s="154"/>
      <c r="Q305" s="154"/>
      <c r="R305" s="154"/>
      <c r="S305" s="153">
        <v>28</v>
      </c>
      <c r="T305" s="156"/>
      <c r="U305" s="152"/>
      <c r="V305" s="148"/>
      <c r="W305" s="148"/>
    </row>
    <row r="306" spans="1:23" ht="24">
      <c r="A306" s="145">
        <v>299</v>
      </c>
      <c r="B306" s="173" t="s">
        <v>485</v>
      </c>
      <c r="C306" s="153">
        <v>1750</v>
      </c>
      <c r="D306" s="153"/>
      <c r="E306" s="153"/>
      <c r="F306" s="149">
        <v>1750</v>
      </c>
      <c r="G306" s="154"/>
      <c r="H306" s="154"/>
      <c r="I306" s="154"/>
      <c r="J306" s="153"/>
      <c r="K306" s="154"/>
      <c r="L306" s="154"/>
      <c r="M306" s="154"/>
      <c r="N306" s="154"/>
      <c r="O306" s="154"/>
      <c r="P306" s="154"/>
      <c r="Q306" s="154"/>
      <c r="R306" s="154"/>
      <c r="S306" s="153"/>
      <c r="T306" s="156">
        <v>1750</v>
      </c>
      <c r="U306" s="152"/>
      <c r="V306" s="148"/>
      <c r="W306" s="148"/>
    </row>
    <row r="307" spans="1:23">
      <c r="A307" s="145">
        <v>300</v>
      </c>
      <c r="B307" s="173" t="s">
        <v>486</v>
      </c>
      <c r="C307" s="153">
        <v>1571.8000000000002</v>
      </c>
      <c r="D307" s="153"/>
      <c r="E307" s="153"/>
      <c r="F307" s="149">
        <v>1571.8000000000002</v>
      </c>
      <c r="G307" s="154"/>
      <c r="H307" s="154"/>
      <c r="I307" s="154"/>
      <c r="J307" s="153"/>
      <c r="K307" s="154"/>
      <c r="L307" s="154"/>
      <c r="M307" s="154"/>
      <c r="N307" s="154"/>
      <c r="O307" s="154"/>
      <c r="P307" s="154"/>
      <c r="Q307" s="154"/>
      <c r="R307" s="154"/>
      <c r="S307" s="153">
        <v>1314.4</v>
      </c>
      <c r="T307" s="156">
        <v>257.39999999999998</v>
      </c>
      <c r="U307" s="152"/>
      <c r="V307" s="148"/>
      <c r="W307" s="148"/>
    </row>
    <row r="308" spans="1:23" ht="24">
      <c r="A308" s="145">
        <v>301</v>
      </c>
      <c r="B308" s="173" t="s">
        <v>487</v>
      </c>
      <c r="C308" s="153">
        <v>7660.7</v>
      </c>
      <c r="D308" s="153"/>
      <c r="E308" s="153"/>
      <c r="F308" s="149">
        <v>7660.7</v>
      </c>
      <c r="G308" s="154"/>
      <c r="H308" s="154"/>
      <c r="I308" s="154"/>
      <c r="J308" s="153"/>
      <c r="K308" s="154"/>
      <c r="L308" s="154"/>
      <c r="M308" s="154"/>
      <c r="N308" s="154"/>
      <c r="O308" s="154"/>
      <c r="P308" s="154"/>
      <c r="Q308" s="154"/>
      <c r="R308" s="154"/>
      <c r="S308" s="153">
        <v>543.4</v>
      </c>
      <c r="T308" s="156">
        <v>7117.3</v>
      </c>
      <c r="U308" s="152"/>
      <c r="V308" s="148"/>
      <c r="W308" s="148"/>
    </row>
    <row r="309" spans="1:23" ht="24">
      <c r="A309" s="145">
        <v>302</v>
      </c>
      <c r="B309" s="173" t="s">
        <v>366</v>
      </c>
      <c r="C309" s="153">
        <v>1279.9000000000001</v>
      </c>
      <c r="D309" s="153"/>
      <c r="E309" s="153"/>
      <c r="F309" s="149">
        <v>1279.9000000000001</v>
      </c>
      <c r="G309" s="154"/>
      <c r="H309" s="154"/>
      <c r="I309" s="154"/>
      <c r="J309" s="153"/>
      <c r="K309" s="154"/>
      <c r="L309" s="154"/>
      <c r="M309" s="154"/>
      <c r="N309" s="154"/>
      <c r="O309" s="154"/>
      <c r="P309" s="154"/>
      <c r="Q309" s="154"/>
      <c r="R309" s="154"/>
      <c r="S309" s="153">
        <v>874.9</v>
      </c>
      <c r="T309" s="156">
        <v>405</v>
      </c>
      <c r="U309" s="152"/>
      <c r="V309" s="148"/>
      <c r="W309" s="148"/>
    </row>
    <row r="310" spans="1:23" ht="24">
      <c r="A310" s="145">
        <v>303</v>
      </c>
      <c r="B310" s="173" t="s">
        <v>488</v>
      </c>
      <c r="C310" s="153">
        <v>2650</v>
      </c>
      <c r="D310" s="153"/>
      <c r="E310" s="153"/>
      <c r="F310" s="149">
        <v>2650</v>
      </c>
      <c r="G310" s="154"/>
      <c r="H310" s="154"/>
      <c r="I310" s="154"/>
      <c r="J310" s="153"/>
      <c r="K310" s="154"/>
      <c r="L310" s="154"/>
      <c r="M310" s="154"/>
      <c r="N310" s="154"/>
      <c r="O310" s="154"/>
      <c r="P310" s="154"/>
      <c r="Q310" s="154"/>
      <c r="R310" s="154"/>
      <c r="S310" s="153">
        <v>2650</v>
      </c>
      <c r="T310" s="156"/>
      <c r="U310" s="152"/>
      <c r="V310" s="148"/>
      <c r="W310" s="148"/>
    </row>
    <row r="311" spans="1:23">
      <c r="A311" s="145">
        <v>304</v>
      </c>
      <c r="B311" s="174" t="s">
        <v>367</v>
      </c>
      <c r="C311" s="153">
        <v>500</v>
      </c>
      <c r="D311" s="153"/>
      <c r="E311" s="154"/>
      <c r="F311" s="149">
        <v>500</v>
      </c>
      <c r="G311" s="154"/>
      <c r="H311" s="154"/>
      <c r="I311" s="154"/>
      <c r="J311" s="154"/>
      <c r="K311" s="154"/>
      <c r="L311" s="154"/>
      <c r="M311" s="154"/>
      <c r="N311" s="154"/>
      <c r="O311" s="154"/>
      <c r="P311" s="154"/>
      <c r="Q311" s="154"/>
      <c r="R311" s="154"/>
      <c r="S311" s="153">
        <v>500</v>
      </c>
      <c r="T311" s="156"/>
      <c r="U311" s="152"/>
      <c r="V311" s="148"/>
      <c r="W311" s="148"/>
    </row>
    <row r="312" spans="1:23">
      <c r="A312" s="145">
        <v>305</v>
      </c>
      <c r="B312" s="173" t="s">
        <v>489</v>
      </c>
      <c r="C312" s="153">
        <v>4253.8999999999996</v>
      </c>
      <c r="D312" s="153"/>
      <c r="E312" s="154"/>
      <c r="F312" s="149">
        <v>4253.8999999999996</v>
      </c>
      <c r="G312" s="154"/>
      <c r="H312" s="154"/>
      <c r="I312" s="154"/>
      <c r="J312" s="154"/>
      <c r="K312" s="154"/>
      <c r="L312" s="154"/>
      <c r="M312" s="154"/>
      <c r="N312" s="154"/>
      <c r="O312" s="154"/>
      <c r="P312" s="154"/>
      <c r="Q312" s="154"/>
      <c r="R312" s="154"/>
      <c r="S312" s="153">
        <v>4253.8999999999996</v>
      </c>
      <c r="T312" s="156"/>
      <c r="U312" s="152"/>
      <c r="V312" s="148"/>
      <c r="W312" s="148"/>
    </row>
    <row r="313" spans="1:23">
      <c r="A313" s="145">
        <v>306</v>
      </c>
      <c r="B313" s="175" t="s">
        <v>490</v>
      </c>
      <c r="C313" s="164">
        <v>25444.1</v>
      </c>
      <c r="D313" s="164">
        <v>0</v>
      </c>
      <c r="E313" s="164">
        <v>0</v>
      </c>
      <c r="F313" s="164">
        <v>25444.1</v>
      </c>
      <c r="G313" s="164">
        <v>0</v>
      </c>
      <c r="H313" s="164">
        <v>0</v>
      </c>
      <c r="I313" s="164">
        <v>0</v>
      </c>
      <c r="J313" s="164">
        <v>0</v>
      </c>
      <c r="K313" s="164">
        <v>0</v>
      </c>
      <c r="L313" s="164">
        <v>0</v>
      </c>
      <c r="M313" s="164">
        <v>0</v>
      </c>
      <c r="N313" s="164">
        <v>0</v>
      </c>
      <c r="O313" s="164">
        <v>0</v>
      </c>
      <c r="P313" s="164">
        <v>0</v>
      </c>
      <c r="Q313" s="164">
        <v>0</v>
      </c>
      <c r="R313" s="164">
        <v>0</v>
      </c>
      <c r="S313" s="164">
        <v>15914.4</v>
      </c>
      <c r="T313" s="164">
        <v>9529.7000000000007</v>
      </c>
      <c r="U313" s="164">
        <v>0</v>
      </c>
      <c r="V313" s="148"/>
      <c r="W313" s="148"/>
    </row>
    <row r="314" spans="1:23">
      <c r="A314" s="145">
        <v>307</v>
      </c>
      <c r="B314" s="176" t="s">
        <v>491</v>
      </c>
      <c r="C314" s="177">
        <v>130941.69999999998</v>
      </c>
      <c r="D314" s="177">
        <v>55600.19999999999</v>
      </c>
      <c r="E314" s="177">
        <v>16314.599999999999</v>
      </c>
      <c r="F314" s="177">
        <v>59026.899999999994</v>
      </c>
      <c r="G314" s="177">
        <v>1664.9</v>
      </c>
      <c r="H314" s="177">
        <v>75.09999999999998</v>
      </c>
      <c r="I314" s="177">
        <v>3627.1</v>
      </c>
      <c r="J314" s="177">
        <v>2235.8000000000002</v>
      </c>
      <c r="K314" s="177">
        <v>366.2</v>
      </c>
      <c r="L314" s="177">
        <v>1389</v>
      </c>
      <c r="M314" s="177">
        <v>81</v>
      </c>
      <c r="N314" s="177">
        <v>716.90000000000009</v>
      </c>
      <c r="O314" s="177">
        <v>1580.6</v>
      </c>
      <c r="P314" s="177">
        <v>69.3</v>
      </c>
      <c r="Q314" s="177">
        <v>697.9</v>
      </c>
      <c r="R314" s="177">
        <v>281.69999999999993</v>
      </c>
      <c r="S314" s="177">
        <v>22555.1</v>
      </c>
      <c r="T314" s="177">
        <v>10651.500000000002</v>
      </c>
      <c r="U314" s="177">
        <v>13034.8</v>
      </c>
      <c r="V314" s="148"/>
      <c r="W314" s="148"/>
    </row>
    <row r="315" spans="1:23">
      <c r="A315" s="145">
        <v>308</v>
      </c>
      <c r="B315" s="178"/>
      <c r="C315" s="179"/>
      <c r="D315" s="180"/>
      <c r="E315" s="180"/>
      <c r="F315" s="179"/>
      <c r="G315" s="180"/>
      <c r="H315" s="180"/>
      <c r="I315" s="180"/>
      <c r="J315" s="180"/>
      <c r="K315" s="180"/>
      <c r="L315" s="180"/>
      <c r="M315" s="180"/>
      <c r="N315" s="180"/>
      <c r="O315" s="180"/>
      <c r="P315" s="180"/>
      <c r="Q315" s="180"/>
      <c r="R315" s="180"/>
      <c r="S315" s="179"/>
      <c r="T315" s="180"/>
      <c r="U315" s="152"/>
      <c r="V315" s="148"/>
      <c r="W315" s="148"/>
    </row>
    <row r="316" spans="1:23">
      <c r="A316" s="145">
        <v>309</v>
      </c>
      <c r="B316" s="201" t="s">
        <v>492</v>
      </c>
      <c r="C316" s="164">
        <v>130941.7</v>
      </c>
      <c r="D316" s="164">
        <v>55600.19999999999</v>
      </c>
      <c r="E316" s="164">
        <v>16314.6</v>
      </c>
      <c r="F316" s="164">
        <v>59026.899999999994</v>
      </c>
      <c r="G316" s="164">
        <v>1664.9</v>
      </c>
      <c r="H316" s="164">
        <v>75.099999999999994</v>
      </c>
      <c r="I316" s="164">
        <v>3627.1</v>
      </c>
      <c r="J316" s="164">
        <v>2235.8000000000002</v>
      </c>
      <c r="K316" s="164">
        <v>366.2</v>
      </c>
      <c r="L316" s="164">
        <v>1389</v>
      </c>
      <c r="M316" s="164">
        <v>81</v>
      </c>
      <c r="N316" s="164">
        <v>716.9</v>
      </c>
      <c r="O316" s="164">
        <v>1580.6000000000004</v>
      </c>
      <c r="P316" s="164">
        <v>69.3</v>
      </c>
      <c r="Q316" s="164">
        <v>697.90000000000009</v>
      </c>
      <c r="R316" s="164">
        <v>281.69999999999993</v>
      </c>
      <c r="S316" s="164">
        <v>22555.099999999995</v>
      </c>
      <c r="T316" s="164">
        <v>10651.500000000002</v>
      </c>
      <c r="U316" s="164">
        <v>13034.8</v>
      </c>
      <c r="V316" s="148"/>
      <c r="W316" s="148"/>
    </row>
    <row r="317" spans="1:23">
      <c r="A317" s="145">
        <v>310</v>
      </c>
      <c r="B317" s="195" t="s">
        <v>493</v>
      </c>
      <c r="C317" s="164">
        <v>54792.1</v>
      </c>
      <c r="D317" s="164">
        <v>23321.399999999994</v>
      </c>
      <c r="E317" s="164">
        <v>6305.4000000000005</v>
      </c>
      <c r="F317" s="164">
        <v>25165.299999999992</v>
      </c>
      <c r="G317" s="164">
        <v>54.5</v>
      </c>
      <c r="H317" s="164">
        <v>29.7</v>
      </c>
      <c r="I317" s="164">
        <v>2944</v>
      </c>
      <c r="J317" s="164">
        <v>1732.4</v>
      </c>
      <c r="K317" s="164">
        <v>277.09999999999997</v>
      </c>
      <c r="L317" s="164">
        <v>928.60000000000014</v>
      </c>
      <c r="M317" s="164">
        <v>16.8</v>
      </c>
      <c r="N317" s="164">
        <v>77.900000000000006</v>
      </c>
      <c r="O317" s="164">
        <v>662.80000000000007</v>
      </c>
      <c r="P317" s="164">
        <v>59.099999999999994</v>
      </c>
      <c r="Q317" s="164">
        <v>621.1</v>
      </c>
      <c r="R317" s="164">
        <v>26.6</v>
      </c>
      <c r="S317" s="164">
        <v>16473.599999999995</v>
      </c>
      <c r="T317" s="164">
        <v>1261.1000000000013</v>
      </c>
      <c r="U317" s="164">
        <v>0</v>
      </c>
      <c r="V317" s="148"/>
      <c r="W317" s="148"/>
    </row>
    <row r="318" spans="1:23" ht="60">
      <c r="A318" s="145">
        <v>311</v>
      </c>
      <c r="B318" s="202" t="s">
        <v>494</v>
      </c>
      <c r="C318" s="164">
        <v>11590.6</v>
      </c>
      <c r="D318" s="164">
        <v>0</v>
      </c>
      <c r="E318" s="164">
        <v>0</v>
      </c>
      <c r="F318" s="164">
        <v>11590.6</v>
      </c>
      <c r="G318" s="164">
        <v>0</v>
      </c>
      <c r="H318" s="164">
        <v>0</v>
      </c>
      <c r="I318" s="164">
        <v>0</v>
      </c>
      <c r="J318" s="164">
        <v>0</v>
      </c>
      <c r="K318" s="164">
        <v>0</v>
      </c>
      <c r="L318" s="164">
        <v>0</v>
      </c>
      <c r="M318" s="164">
        <v>0</v>
      </c>
      <c r="N318" s="164">
        <v>0</v>
      </c>
      <c r="O318" s="164">
        <v>0</v>
      </c>
      <c r="P318" s="164">
        <v>0</v>
      </c>
      <c r="Q318" s="164">
        <v>0</v>
      </c>
      <c r="R318" s="164">
        <v>0</v>
      </c>
      <c r="S318" s="164">
        <v>4068.3</v>
      </c>
      <c r="T318" s="164">
        <v>7522.3</v>
      </c>
      <c r="U318" s="164">
        <v>0</v>
      </c>
      <c r="V318" s="148"/>
      <c r="W318" s="148"/>
    </row>
    <row r="319" spans="1:23">
      <c r="A319" s="145">
        <v>312</v>
      </c>
      <c r="B319" s="196" t="s">
        <v>441</v>
      </c>
      <c r="C319" s="164">
        <v>4539.4000000000005</v>
      </c>
      <c r="D319" s="164">
        <v>319</v>
      </c>
      <c r="E319" s="164">
        <v>105.9</v>
      </c>
      <c r="F319" s="164">
        <v>4114.5</v>
      </c>
      <c r="G319" s="164">
        <v>1383.4</v>
      </c>
      <c r="H319" s="164">
        <v>28.999999999999996</v>
      </c>
      <c r="I319" s="164">
        <v>387.90000000000003</v>
      </c>
      <c r="J319" s="164">
        <v>421.20000000000005</v>
      </c>
      <c r="K319" s="164">
        <v>56.600000000000009</v>
      </c>
      <c r="L319" s="164">
        <v>217</v>
      </c>
      <c r="M319" s="164">
        <v>27.2</v>
      </c>
      <c r="N319" s="164">
        <v>23.5</v>
      </c>
      <c r="O319" s="164">
        <v>823.90000000000009</v>
      </c>
      <c r="P319" s="164">
        <v>8.3000000000000007</v>
      </c>
      <c r="Q319" s="164">
        <v>55.7</v>
      </c>
      <c r="R319" s="164">
        <v>30.200000000000003</v>
      </c>
      <c r="S319" s="164">
        <v>544.5</v>
      </c>
      <c r="T319" s="164">
        <v>106.10000000000001</v>
      </c>
      <c r="U319" s="164">
        <v>0</v>
      </c>
      <c r="V319" s="148"/>
      <c r="W319" s="148"/>
    </row>
    <row r="320" spans="1:23">
      <c r="A320" s="145">
        <v>313</v>
      </c>
      <c r="B320" s="196" t="s">
        <v>442</v>
      </c>
      <c r="C320" s="164">
        <v>37080</v>
      </c>
      <c r="D320" s="164">
        <v>27454.199999999997</v>
      </c>
      <c r="E320" s="164">
        <v>8505.4</v>
      </c>
      <c r="F320" s="164">
        <v>1120.3999999999999</v>
      </c>
      <c r="G320" s="164">
        <v>0</v>
      </c>
      <c r="H320" s="164">
        <v>0</v>
      </c>
      <c r="I320" s="164">
        <v>0</v>
      </c>
      <c r="J320" s="164">
        <v>0</v>
      </c>
      <c r="K320" s="164">
        <v>0</v>
      </c>
      <c r="L320" s="164">
        <v>0</v>
      </c>
      <c r="M320" s="164">
        <v>0</v>
      </c>
      <c r="N320" s="164">
        <v>613.20000000000005</v>
      </c>
      <c r="O320" s="164">
        <v>0</v>
      </c>
      <c r="P320" s="164">
        <v>0</v>
      </c>
      <c r="Q320" s="164">
        <v>0</v>
      </c>
      <c r="R320" s="164">
        <v>214.69999999999996</v>
      </c>
      <c r="S320" s="164">
        <v>280.50000000000006</v>
      </c>
      <c r="T320" s="164">
        <v>12</v>
      </c>
      <c r="U320" s="164">
        <v>0</v>
      </c>
      <c r="V320" s="148"/>
      <c r="W320" s="148"/>
    </row>
    <row r="321" spans="1:23">
      <c r="A321" s="145">
        <v>314</v>
      </c>
      <c r="B321" s="196" t="s">
        <v>445</v>
      </c>
      <c r="C321" s="164">
        <v>19352.899999999998</v>
      </c>
      <c r="D321" s="164">
        <v>3454.6000000000004</v>
      </c>
      <c r="E321" s="164">
        <v>1072.3</v>
      </c>
      <c r="F321" s="164">
        <v>14826.000000000002</v>
      </c>
      <c r="G321" s="164">
        <v>107</v>
      </c>
      <c r="H321" s="164">
        <v>13.399999999999999</v>
      </c>
      <c r="I321" s="164">
        <v>82</v>
      </c>
      <c r="J321" s="164">
        <v>38.199999999999996</v>
      </c>
      <c r="K321" s="164">
        <v>23.5</v>
      </c>
      <c r="L321" s="164">
        <v>213.39999999999998</v>
      </c>
      <c r="M321" s="164">
        <v>34</v>
      </c>
      <c r="N321" s="164">
        <v>0.3</v>
      </c>
      <c r="O321" s="164">
        <v>88.899999999999991</v>
      </c>
      <c r="P321" s="164">
        <v>1.5</v>
      </c>
      <c r="Q321" s="164">
        <v>8.1</v>
      </c>
      <c r="R321" s="164">
        <v>8.2000000000000011</v>
      </c>
      <c r="S321" s="164">
        <v>1172.6999999999998</v>
      </c>
      <c r="T321" s="164">
        <v>0</v>
      </c>
      <c r="U321" s="164">
        <v>13034.8</v>
      </c>
      <c r="V321" s="148"/>
      <c r="W321" s="148"/>
    </row>
    <row r="322" spans="1:23" ht="24">
      <c r="A322" s="145">
        <v>315</v>
      </c>
      <c r="B322" s="198" t="s">
        <v>495</v>
      </c>
      <c r="C322" s="203">
        <v>1836.6999999999998</v>
      </c>
      <c r="D322" s="203">
        <v>1051</v>
      </c>
      <c r="E322" s="203">
        <v>325.60000000000002</v>
      </c>
      <c r="F322" s="203">
        <v>460.09999999999997</v>
      </c>
      <c r="G322" s="203">
        <v>120</v>
      </c>
      <c r="H322" s="203">
        <v>3</v>
      </c>
      <c r="I322" s="203">
        <v>213.2</v>
      </c>
      <c r="J322" s="203">
        <v>44</v>
      </c>
      <c r="K322" s="203">
        <v>9</v>
      </c>
      <c r="L322" s="203">
        <v>30</v>
      </c>
      <c r="M322" s="203">
        <v>3</v>
      </c>
      <c r="N322" s="203">
        <v>2</v>
      </c>
      <c r="O322" s="203">
        <v>5</v>
      </c>
      <c r="P322" s="203">
        <v>0.4</v>
      </c>
      <c r="Q322" s="203">
        <v>13</v>
      </c>
      <c r="R322" s="203">
        <v>2</v>
      </c>
      <c r="S322" s="203">
        <v>15.5</v>
      </c>
      <c r="T322" s="203">
        <v>0</v>
      </c>
      <c r="U322" s="203">
        <v>0</v>
      </c>
      <c r="V322" s="125"/>
      <c r="W322" s="125"/>
    </row>
    <row r="323" spans="1:23" ht="24">
      <c r="A323" s="145">
        <v>316</v>
      </c>
      <c r="B323" s="204" t="s">
        <v>485</v>
      </c>
      <c r="C323" s="203">
        <v>1750</v>
      </c>
      <c r="D323" s="203">
        <v>0</v>
      </c>
      <c r="E323" s="203">
        <v>0</v>
      </c>
      <c r="F323" s="203">
        <v>1750</v>
      </c>
      <c r="G323" s="203">
        <v>0</v>
      </c>
      <c r="H323" s="203">
        <v>0</v>
      </c>
      <c r="I323" s="203">
        <v>0</v>
      </c>
      <c r="J323" s="203">
        <v>0</v>
      </c>
      <c r="K323" s="203">
        <v>0</v>
      </c>
      <c r="L323" s="203">
        <v>0</v>
      </c>
      <c r="M323" s="203">
        <v>0</v>
      </c>
      <c r="N323" s="203">
        <v>0</v>
      </c>
      <c r="O323" s="203">
        <v>0</v>
      </c>
      <c r="P323" s="203">
        <v>0</v>
      </c>
      <c r="Q323" s="203">
        <v>0</v>
      </c>
      <c r="R323" s="203">
        <v>0</v>
      </c>
      <c r="S323" s="203">
        <v>0</v>
      </c>
      <c r="T323" s="203">
        <v>1750</v>
      </c>
      <c r="U323" s="203">
        <v>0</v>
      </c>
      <c r="V323" s="125"/>
      <c r="W323" s="125"/>
    </row>
    <row r="324" spans="1:23">
      <c r="A324" s="181"/>
      <c r="B324" s="182"/>
      <c r="C324" s="183"/>
      <c r="D324" s="184"/>
      <c r="E324" s="184"/>
      <c r="F324" s="183"/>
      <c r="G324" s="184"/>
      <c r="H324" s="184"/>
      <c r="I324" s="184"/>
      <c r="J324" s="184"/>
      <c r="K324" s="184"/>
      <c r="L324" s="184"/>
      <c r="M324" s="184"/>
      <c r="N324" s="184"/>
      <c r="O324" s="184"/>
      <c r="P324" s="184"/>
      <c r="Q324" s="184"/>
      <c r="R324" s="184"/>
      <c r="S324" s="184"/>
      <c r="T324" s="184"/>
      <c r="U324" s="125"/>
      <c r="V324" s="125"/>
      <c r="W324" s="125"/>
    </row>
    <row r="325" spans="1:23">
      <c r="A325" s="181"/>
      <c r="B325" s="182"/>
      <c r="C325" s="183"/>
      <c r="D325" s="184"/>
      <c r="E325" s="184"/>
      <c r="F325" s="183"/>
      <c r="G325" s="184"/>
      <c r="H325" s="184"/>
      <c r="I325" s="184"/>
      <c r="J325" s="184"/>
      <c r="K325" s="184"/>
      <c r="L325" s="184"/>
      <c r="M325" s="184"/>
      <c r="N325" s="184"/>
      <c r="O325" s="184"/>
      <c r="P325" s="184"/>
      <c r="Q325" s="184"/>
      <c r="R325" s="184"/>
      <c r="S325" s="184"/>
      <c r="T325" s="184"/>
      <c r="U325" s="125"/>
      <c r="V325" s="125"/>
      <c r="W325" s="125"/>
    </row>
    <row r="326" spans="1:23">
      <c r="A326" s="181"/>
      <c r="B326" s="182"/>
      <c r="C326" s="183"/>
      <c r="D326" s="184"/>
      <c r="E326" s="185"/>
      <c r="F326" s="183"/>
      <c r="G326" s="184"/>
      <c r="H326" s="184"/>
      <c r="I326" s="184"/>
      <c r="J326" s="184"/>
      <c r="K326" s="184"/>
      <c r="L326" s="184"/>
      <c r="M326" s="184"/>
      <c r="N326" s="184"/>
      <c r="O326" s="184"/>
      <c r="P326" s="184"/>
      <c r="Q326" s="184"/>
      <c r="R326" s="184"/>
      <c r="S326" s="184"/>
      <c r="T326" s="184"/>
      <c r="U326" s="125"/>
      <c r="V326" s="125"/>
      <c r="W326" s="125"/>
    </row>
    <row r="327" spans="1:23">
      <c r="A327" s="181"/>
      <c r="B327" s="182"/>
      <c r="C327" s="183"/>
      <c r="D327" s="184"/>
      <c r="E327" s="184"/>
      <c r="F327" s="183"/>
      <c r="G327" s="184"/>
      <c r="H327" s="184"/>
      <c r="I327" s="184"/>
      <c r="J327" s="184"/>
      <c r="K327" s="184"/>
      <c r="L327" s="184"/>
      <c r="M327" s="184"/>
      <c r="N327" s="184"/>
      <c r="O327" s="184"/>
      <c r="P327" s="184"/>
      <c r="Q327" s="184"/>
      <c r="R327" s="184"/>
      <c r="S327" s="184"/>
      <c r="T327" s="184"/>
      <c r="U327" s="125"/>
      <c r="V327" s="125"/>
      <c r="W327" s="125"/>
    </row>
    <row r="328" spans="1:23">
      <c r="A328" s="181"/>
      <c r="B328" s="182"/>
      <c r="C328" s="183"/>
      <c r="D328" s="184"/>
      <c r="E328" s="184"/>
      <c r="F328" s="183"/>
      <c r="G328" s="184"/>
      <c r="H328" s="184"/>
      <c r="I328" s="184"/>
      <c r="J328" s="184"/>
      <c r="K328" s="184"/>
      <c r="L328" s="184"/>
      <c r="M328" s="184"/>
      <c r="N328" s="184"/>
      <c r="O328" s="184"/>
      <c r="P328" s="184"/>
      <c r="Q328" s="184"/>
      <c r="R328" s="184"/>
      <c r="S328" s="184"/>
      <c r="T328" s="184"/>
      <c r="U328" s="125"/>
      <c r="V328" s="125"/>
      <c r="W328" s="125"/>
    </row>
    <row r="329" spans="1:23">
      <c r="A329" s="181"/>
      <c r="B329" s="182"/>
      <c r="C329" s="183"/>
      <c r="D329" s="184"/>
      <c r="E329" s="184"/>
      <c r="F329" s="183"/>
      <c r="G329" s="184"/>
      <c r="H329" s="184"/>
      <c r="I329" s="184"/>
      <c r="J329" s="184"/>
      <c r="K329" s="184"/>
      <c r="L329" s="184"/>
      <c r="M329" s="184"/>
      <c r="N329" s="184"/>
      <c r="O329" s="184"/>
      <c r="P329" s="184"/>
      <c r="Q329" s="184"/>
      <c r="R329" s="184"/>
      <c r="S329" s="184"/>
      <c r="T329" s="184"/>
      <c r="U329" s="125"/>
      <c r="V329" s="125"/>
      <c r="W329" s="125"/>
    </row>
    <row r="330" spans="1:23">
      <c r="A330" s="181"/>
      <c r="B330" s="182"/>
      <c r="C330" s="183"/>
      <c r="D330" s="184"/>
      <c r="E330" s="184"/>
      <c r="F330" s="183"/>
      <c r="G330" s="184"/>
      <c r="H330" s="184"/>
      <c r="I330" s="184"/>
      <c r="J330" s="184"/>
      <c r="K330" s="184"/>
      <c r="L330" s="184"/>
      <c r="M330" s="184"/>
      <c r="N330" s="184"/>
      <c r="O330" s="184"/>
      <c r="P330" s="184"/>
      <c r="Q330" s="184"/>
      <c r="R330" s="184"/>
      <c r="S330" s="184"/>
      <c r="T330" s="184"/>
      <c r="U330" s="125"/>
      <c r="V330" s="125"/>
      <c r="W330" s="125"/>
    </row>
    <row r="331" spans="1:23">
      <c r="A331" s="181"/>
      <c r="B331" s="186"/>
      <c r="C331" s="183"/>
      <c r="D331" s="184"/>
      <c r="E331" s="184"/>
      <c r="F331" s="183"/>
      <c r="G331" s="184"/>
      <c r="H331" s="184"/>
      <c r="I331" s="184"/>
      <c r="J331" s="184"/>
      <c r="K331" s="184"/>
      <c r="L331" s="184"/>
      <c r="M331" s="184"/>
      <c r="N331" s="184"/>
      <c r="O331" s="184"/>
      <c r="P331" s="184"/>
      <c r="Q331" s="184"/>
      <c r="R331" s="184"/>
      <c r="S331" s="184"/>
      <c r="T331" s="184"/>
      <c r="U331" s="125"/>
      <c r="V331" s="125"/>
      <c r="W331" s="125"/>
    </row>
    <row r="332" spans="1:23">
      <c r="A332" s="181"/>
      <c r="B332" s="182"/>
      <c r="C332" s="183"/>
      <c r="D332" s="184"/>
      <c r="E332" s="184"/>
      <c r="F332" s="183"/>
      <c r="G332" s="184"/>
      <c r="H332" s="184"/>
      <c r="I332" s="184"/>
      <c r="J332" s="184"/>
      <c r="K332" s="184"/>
      <c r="L332" s="184"/>
      <c r="M332" s="184"/>
      <c r="N332" s="184"/>
      <c r="O332" s="184"/>
      <c r="P332" s="184"/>
      <c r="Q332" s="184"/>
      <c r="R332" s="184"/>
      <c r="S332" s="184"/>
      <c r="T332" s="184"/>
      <c r="U332" s="125"/>
      <c r="V332" s="125"/>
      <c r="W332" s="125"/>
    </row>
    <row r="333" spans="1:23">
      <c r="A333" s="181"/>
      <c r="B333" s="182"/>
      <c r="C333" s="183"/>
      <c r="D333" s="184"/>
      <c r="E333" s="184"/>
      <c r="F333" s="183"/>
      <c r="G333" s="184"/>
      <c r="H333" s="184"/>
      <c r="I333" s="184"/>
      <c r="J333" s="184"/>
      <c r="K333" s="184"/>
      <c r="L333" s="184"/>
      <c r="M333" s="184"/>
      <c r="N333" s="184"/>
      <c r="O333" s="184"/>
      <c r="P333" s="184"/>
      <c r="Q333" s="184"/>
      <c r="R333" s="184"/>
      <c r="S333" s="184"/>
      <c r="T333" s="184"/>
      <c r="U333" s="125"/>
      <c r="V333" s="125"/>
      <c r="W333" s="125"/>
    </row>
    <row r="334" spans="1:23">
      <c r="A334" s="181"/>
      <c r="B334" s="182"/>
      <c r="C334" s="183"/>
      <c r="D334" s="184"/>
      <c r="E334" s="184"/>
      <c r="F334" s="183"/>
      <c r="G334" s="184"/>
      <c r="H334" s="184"/>
      <c r="I334" s="184"/>
      <c r="J334" s="184"/>
      <c r="K334" s="184"/>
      <c r="L334" s="184"/>
      <c r="M334" s="184"/>
      <c r="N334" s="184"/>
      <c r="O334" s="184"/>
      <c r="P334" s="184"/>
      <c r="Q334" s="184"/>
      <c r="R334" s="184"/>
      <c r="S334" s="184"/>
      <c r="T334" s="184"/>
    </row>
    <row r="335" spans="1:23">
      <c r="A335" s="181"/>
      <c r="B335" s="182"/>
      <c r="C335" s="183"/>
      <c r="D335" s="184"/>
      <c r="E335" s="184"/>
      <c r="F335" s="183"/>
      <c r="G335" s="184"/>
      <c r="H335" s="184"/>
      <c r="I335" s="184"/>
      <c r="J335" s="184"/>
      <c r="K335" s="184"/>
      <c r="L335" s="184"/>
      <c r="M335" s="184"/>
      <c r="N335" s="184"/>
      <c r="O335" s="184"/>
      <c r="P335" s="184"/>
      <c r="Q335" s="184"/>
      <c r="R335" s="184"/>
      <c r="S335" s="184"/>
      <c r="T335" s="184"/>
    </row>
    <row r="336" spans="1:23">
      <c r="A336" s="181"/>
      <c r="B336" s="182"/>
      <c r="C336" s="183"/>
      <c r="D336" s="184"/>
      <c r="E336" s="184"/>
      <c r="F336" s="183"/>
      <c r="G336" s="184"/>
      <c r="H336" s="184"/>
      <c r="I336" s="184"/>
      <c r="J336" s="184"/>
      <c r="K336" s="184"/>
      <c r="L336" s="184"/>
      <c r="M336" s="184"/>
      <c r="N336" s="184"/>
      <c r="O336" s="184"/>
      <c r="P336" s="184"/>
      <c r="Q336" s="184"/>
      <c r="R336" s="184"/>
      <c r="S336" s="184"/>
      <c r="T336" s="184"/>
    </row>
    <row r="337" spans="1:20">
      <c r="A337" s="181"/>
      <c r="B337" s="182"/>
      <c r="C337" s="183"/>
      <c r="D337" s="184"/>
      <c r="E337" s="184"/>
      <c r="F337" s="183"/>
      <c r="G337" s="184"/>
      <c r="H337" s="184"/>
      <c r="I337" s="184"/>
      <c r="J337" s="184"/>
      <c r="K337" s="184"/>
      <c r="L337" s="184"/>
      <c r="M337" s="184"/>
      <c r="N337" s="184"/>
      <c r="O337" s="184"/>
      <c r="P337" s="184"/>
      <c r="Q337" s="184"/>
      <c r="R337" s="184"/>
      <c r="S337" s="184"/>
      <c r="T337" s="184"/>
    </row>
    <row r="338" spans="1:20">
      <c r="A338" s="181"/>
      <c r="B338" s="182"/>
      <c r="C338" s="183"/>
      <c r="D338" s="184"/>
      <c r="E338" s="184"/>
      <c r="F338" s="183"/>
      <c r="G338" s="184"/>
      <c r="H338" s="184"/>
      <c r="I338" s="184"/>
      <c r="J338" s="184"/>
      <c r="K338" s="184"/>
      <c r="L338" s="184"/>
      <c r="M338" s="184"/>
      <c r="N338" s="184"/>
      <c r="O338" s="184"/>
      <c r="P338" s="184"/>
      <c r="Q338" s="184"/>
      <c r="R338" s="184"/>
      <c r="S338" s="184"/>
      <c r="T338" s="184"/>
    </row>
    <row r="339" spans="1:20">
      <c r="A339" s="181"/>
      <c r="B339" s="182"/>
      <c r="C339" s="183"/>
      <c r="D339" s="184"/>
      <c r="E339" s="184"/>
      <c r="F339" s="183"/>
      <c r="G339" s="184"/>
      <c r="H339" s="184"/>
      <c r="I339" s="184"/>
      <c r="J339" s="184"/>
      <c r="K339" s="184"/>
      <c r="L339" s="184"/>
      <c r="M339" s="184"/>
      <c r="N339" s="184"/>
      <c r="O339" s="184"/>
      <c r="P339" s="184"/>
      <c r="Q339" s="184"/>
      <c r="R339" s="184"/>
      <c r="S339" s="184"/>
      <c r="T339" s="184"/>
    </row>
    <row r="340" spans="1:20">
      <c r="A340" s="181"/>
      <c r="B340" s="182"/>
      <c r="C340" s="183"/>
      <c r="D340" s="184"/>
      <c r="E340" s="184"/>
      <c r="F340" s="183"/>
      <c r="G340" s="184"/>
      <c r="H340" s="184"/>
      <c r="I340" s="184"/>
      <c r="J340" s="184"/>
      <c r="K340" s="184"/>
      <c r="L340" s="184"/>
      <c r="M340" s="184"/>
      <c r="N340" s="184"/>
      <c r="O340" s="184"/>
      <c r="P340" s="184"/>
      <c r="Q340" s="184"/>
      <c r="R340" s="184"/>
      <c r="S340" s="184"/>
      <c r="T340" s="184"/>
    </row>
    <row r="341" spans="1:20">
      <c r="A341" s="181"/>
      <c r="B341" s="182"/>
      <c r="C341" s="183"/>
      <c r="D341" s="184"/>
      <c r="E341" s="184"/>
      <c r="F341" s="183"/>
      <c r="G341" s="184"/>
      <c r="H341" s="184"/>
      <c r="I341" s="184"/>
      <c r="J341" s="184"/>
      <c r="K341" s="184"/>
      <c r="L341" s="184"/>
      <c r="M341" s="184"/>
      <c r="N341" s="184"/>
      <c r="O341" s="184"/>
      <c r="P341" s="184"/>
      <c r="Q341" s="184"/>
      <c r="R341" s="184"/>
      <c r="S341" s="184"/>
      <c r="T341" s="184"/>
    </row>
    <row r="342" spans="1:20">
      <c r="A342" s="181"/>
      <c r="B342" s="182"/>
      <c r="C342" s="183"/>
      <c r="D342" s="184"/>
      <c r="E342" s="184"/>
      <c r="F342" s="183"/>
      <c r="G342" s="184"/>
      <c r="H342" s="184"/>
      <c r="I342" s="184"/>
      <c r="J342" s="184"/>
      <c r="K342" s="184"/>
      <c r="L342" s="184"/>
      <c r="M342" s="184"/>
      <c r="N342" s="184"/>
      <c r="O342" s="184"/>
      <c r="P342" s="184"/>
      <c r="Q342" s="184"/>
      <c r="R342" s="184"/>
      <c r="S342" s="184"/>
      <c r="T342" s="184"/>
    </row>
    <row r="343" spans="1:20">
      <c r="A343" s="181"/>
      <c r="B343" s="182"/>
      <c r="C343" s="183"/>
      <c r="D343" s="184"/>
      <c r="E343" s="184"/>
      <c r="F343" s="183"/>
      <c r="G343" s="184"/>
      <c r="H343" s="184"/>
      <c r="I343" s="184"/>
      <c r="J343" s="184"/>
      <c r="K343" s="184"/>
      <c r="L343" s="184"/>
      <c r="M343" s="184"/>
      <c r="N343" s="184"/>
      <c r="O343" s="184"/>
      <c r="P343" s="184"/>
      <c r="Q343" s="184"/>
      <c r="R343" s="184"/>
      <c r="S343" s="184"/>
      <c r="T343" s="184"/>
    </row>
    <row r="344" spans="1:20">
      <c r="A344" s="181"/>
      <c r="B344" s="182"/>
      <c r="C344" s="183"/>
      <c r="D344" s="184"/>
      <c r="E344" s="184"/>
      <c r="F344" s="183"/>
      <c r="G344" s="184"/>
      <c r="H344" s="184"/>
      <c r="I344" s="184"/>
      <c r="J344" s="184"/>
      <c r="K344" s="184"/>
      <c r="L344" s="184"/>
      <c r="M344" s="184"/>
      <c r="N344" s="184"/>
      <c r="O344" s="184"/>
      <c r="P344" s="184"/>
      <c r="Q344" s="184"/>
      <c r="R344" s="184"/>
      <c r="S344" s="184"/>
      <c r="T344" s="184"/>
    </row>
    <row r="345" spans="1:20">
      <c r="A345" s="181"/>
      <c r="B345" s="187"/>
      <c r="C345" s="184"/>
      <c r="D345" s="184"/>
      <c r="E345" s="184"/>
      <c r="F345" s="184"/>
      <c r="G345" s="184"/>
      <c r="H345" s="184"/>
      <c r="I345" s="184"/>
      <c r="J345" s="184"/>
      <c r="K345" s="184"/>
      <c r="L345" s="184"/>
      <c r="M345" s="184"/>
      <c r="N345" s="184"/>
      <c r="O345" s="184"/>
      <c r="P345" s="184"/>
      <c r="Q345" s="184"/>
      <c r="R345" s="184"/>
      <c r="S345" s="184"/>
      <c r="T345" s="184"/>
    </row>
    <row r="346" spans="1:20">
      <c r="A346" s="181"/>
      <c r="B346" s="182"/>
      <c r="C346" s="184"/>
      <c r="D346" s="184"/>
      <c r="E346" s="184"/>
      <c r="F346" s="184"/>
      <c r="G346" s="184"/>
      <c r="H346" s="184"/>
      <c r="I346" s="184"/>
      <c r="J346" s="184"/>
      <c r="K346" s="184"/>
      <c r="L346" s="184"/>
      <c r="M346" s="184"/>
      <c r="N346" s="184"/>
      <c r="O346" s="184"/>
      <c r="P346" s="184"/>
      <c r="Q346" s="184"/>
      <c r="R346" s="184"/>
      <c r="S346" s="184"/>
      <c r="T346" s="184"/>
    </row>
    <row r="347" spans="1:20">
      <c r="A347" s="181"/>
      <c r="B347" s="188"/>
      <c r="C347" s="148"/>
      <c r="D347" s="148"/>
      <c r="E347" s="148"/>
      <c r="F347" s="148"/>
      <c r="G347" s="148"/>
      <c r="H347" s="148"/>
      <c r="I347" s="148"/>
      <c r="J347" s="148"/>
      <c r="K347" s="148"/>
      <c r="L347" s="148"/>
      <c r="M347" s="148"/>
      <c r="N347" s="148"/>
      <c r="O347" s="148"/>
      <c r="P347" s="148"/>
      <c r="Q347" s="148"/>
      <c r="R347" s="148"/>
      <c r="S347" s="148"/>
      <c r="T347" s="148"/>
    </row>
    <row r="348" spans="1:20">
      <c r="A348" s="181"/>
      <c r="B348" s="188"/>
      <c r="C348" s="148"/>
      <c r="D348" s="148"/>
      <c r="E348" s="148"/>
      <c r="F348" s="148"/>
      <c r="G348" s="148"/>
      <c r="H348" s="148"/>
      <c r="I348" s="148"/>
      <c r="J348" s="148"/>
      <c r="K348" s="148"/>
      <c r="L348" s="148"/>
      <c r="M348" s="148"/>
      <c r="N348" s="148"/>
      <c r="O348" s="148"/>
      <c r="P348" s="148"/>
      <c r="Q348" s="148"/>
      <c r="R348" s="148"/>
      <c r="S348" s="148"/>
      <c r="T348" s="148"/>
    </row>
    <row r="349" spans="1:20">
      <c r="A349" s="131"/>
      <c r="B349" s="125"/>
      <c r="C349" s="184"/>
      <c r="D349" s="131"/>
      <c r="E349" s="125"/>
      <c r="F349" s="184"/>
      <c r="G349" s="131"/>
      <c r="H349" s="131"/>
      <c r="I349" s="131"/>
      <c r="J349" s="131"/>
      <c r="K349" s="125"/>
      <c r="L349" s="131"/>
      <c r="M349" s="125"/>
      <c r="N349" s="125"/>
      <c r="O349" s="125"/>
      <c r="P349" s="125"/>
      <c r="Q349" s="131"/>
      <c r="R349" s="125"/>
      <c r="S349" s="131"/>
      <c r="T349" s="125"/>
    </row>
    <row r="350" spans="1:20">
      <c r="B350" s="125"/>
      <c r="C350" s="125"/>
      <c r="D350" s="131"/>
      <c r="E350" s="125"/>
      <c r="F350" s="125"/>
      <c r="G350" s="131"/>
      <c r="H350" s="131"/>
      <c r="I350" s="131"/>
      <c r="J350" s="184"/>
      <c r="K350" s="125"/>
      <c r="L350" s="131"/>
      <c r="M350" s="125"/>
      <c r="N350" s="125"/>
      <c r="O350" s="125"/>
      <c r="P350" s="125"/>
      <c r="Q350" s="131"/>
      <c r="R350" s="125"/>
      <c r="S350" s="131"/>
    </row>
    <row r="351" spans="1:20">
      <c r="B351" s="125"/>
      <c r="C351" s="125"/>
      <c r="D351" s="184"/>
      <c r="E351" s="184"/>
      <c r="F351" s="125"/>
      <c r="G351" s="131"/>
      <c r="H351" s="131"/>
      <c r="I351" s="131"/>
      <c r="J351" s="131"/>
      <c r="K351" s="125"/>
      <c r="L351" s="131"/>
      <c r="M351" s="125"/>
      <c r="N351" s="125"/>
      <c r="O351" s="125"/>
      <c r="P351" s="125"/>
      <c r="Q351" s="131"/>
      <c r="R351" s="125"/>
      <c r="S351" s="184"/>
    </row>
    <row r="352" spans="1:20">
      <c r="B352" s="125"/>
      <c r="C352" s="125"/>
      <c r="D352" s="131"/>
      <c r="E352" s="125"/>
      <c r="F352" s="125"/>
      <c r="G352" s="131"/>
      <c r="H352" s="131"/>
      <c r="I352" s="131"/>
      <c r="J352" s="131"/>
      <c r="K352" s="125"/>
      <c r="L352" s="131"/>
      <c r="M352" s="125"/>
      <c r="N352" s="125"/>
      <c r="O352" s="125"/>
      <c r="P352" s="125"/>
      <c r="Q352" s="131"/>
      <c r="R352" s="125"/>
      <c r="S352" s="131"/>
    </row>
    <row r="353" spans="2:20">
      <c r="B353" s="125"/>
      <c r="C353" s="125"/>
      <c r="D353" s="131"/>
      <c r="E353" s="125"/>
      <c r="F353" s="125"/>
      <c r="G353" s="131"/>
      <c r="H353" s="131"/>
      <c r="I353" s="131"/>
      <c r="J353" s="131"/>
      <c r="K353" s="125"/>
      <c r="L353" s="131"/>
      <c r="M353" s="125"/>
      <c r="N353" s="125"/>
      <c r="O353" s="125"/>
      <c r="P353" s="125"/>
      <c r="Q353" s="131"/>
      <c r="R353" s="125"/>
      <c r="S353" s="131"/>
    </row>
    <row r="354" spans="2:20">
      <c r="B354" s="125"/>
      <c r="C354" s="125"/>
      <c r="D354" s="131"/>
      <c r="E354" s="125"/>
      <c r="F354" s="125"/>
      <c r="G354" s="131"/>
      <c r="H354" s="131"/>
      <c r="I354" s="131"/>
      <c r="J354" s="131"/>
      <c r="K354" s="125"/>
      <c r="L354" s="131"/>
      <c r="M354" s="125"/>
      <c r="N354" s="125"/>
      <c r="O354" s="125"/>
      <c r="P354" s="125"/>
      <c r="Q354" s="131"/>
      <c r="R354" s="125"/>
      <c r="S354" s="131"/>
    </row>
    <row r="355" spans="2:20">
      <c r="B355" s="125"/>
      <c r="C355" s="125"/>
      <c r="D355" s="131"/>
      <c r="E355" s="125"/>
      <c r="F355" s="184"/>
      <c r="G355" s="131"/>
      <c r="H355" s="131"/>
      <c r="I355" s="131"/>
      <c r="J355" s="131"/>
      <c r="K355" s="125"/>
      <c r="L355" s="131"/>
      <c r="M355" s="125"/>
      <c r="N355" s="125"/>
      <c r="O355" s="125"/>
      <c r="P355" s="125"/>
      <c r="Q355" s="131"/>
      <c r="R355" s="125"/>
      <c r="S355" s="131"/>
    </row>
    <row r="356" spans="2:20">
      <c r="B356" s="125"/>
      <c r="C356" s="125"/>
      <c r="D356" s="131"/>
      <c r="E356" s="125"/>
      <c r="F356" s="125"/>
      <c r="G356" s="131"/>
      <c r="H356" s="131"/>
      <c r="I356" s="131"/>
      <c r="J356" s="131"/>
      <c r="K356" s="125"/>
      <c r="L356" s="131"/>
      <c r="M356" s="125"/>
      <c r="N356" s="125"/>
      <c r="O356" s="125"/>
      <c r="P356" s="125"/>
      <c r="Q356" s="131"/>
      <c r="R356" s="125"/>
      <c r="S356" s="131"/>
    </row>
    <row r="357" spans="2:20">
      <c r="B357" s="125"/>
      <c r="C357" s="125"/>
      <c r="D357" s="131"/>
      <c r="E357" s="125"/>
      <c r="F357" s="125"/>
      <c r="G357" s="131"/>
      <c r="H357" s="131"/>
      <c r="I357" s="131"/>
      <c r="J357" s="131"/>
      <c r="K357" s="125"/>
      <c r="L357" s="131"/>
      <c r="M357" s="125"/>
      <c r="N357" s="125"/>
      <c r="O357" s="125"/>
      <c r="P357" s="125"/>
      <c r="Q357" s="131"/>
      <c r="R357" s="125"/>
      <c r="S357" s="131"/>
    </row>
    <row r="358" spans="2:20">
      <c r="B358" s="125"/>
      <c r="C358" s="125"/>
      <c r="D358" s="131"/>
      <c r="E358" s="125"/>
      <c r="F358" s="125"/>
      <c r="G358" s="131"/>
      <c r="H358" s="131"/>
      <c r="I358" s="131"/>
      <c r="J358" s="131"/>
      <c r="K358" s="125"/>
      <c r="L358" s="131"/>
      <c r="M358" s="125"/>
      <c r="N358" s="125"/>
      <c r="O358" s="125"/>
      <c r="P358" s="125"/>
      <c r="Q358" s="131"/>
      <c r="R358" s="125"/>
      <c r="S358" s="131"/>
    </row>
    <row r="359" spans="2:20">
      <c r="B359" s="125"/>
      <c r="C359" s="125"/>
      <c r="D359" s="131"/>
      <c r="E359" s="125"/>
      <c r="F359" s="125"/>
      <c r="G359" s="131"/>
      <c r="H359" s="131"/>
      <c r="I359" s="131"/>
      <c r="J359" s="131"/>
      <c r="K359" s="125"/>
      <c r="L359" s="131"/>
      <c r="M359" s="125"/>
      <c r="N359" s="125"/>
      <c r="O359" s="125"/>
      <c r="P359" s="125"/>
      <c r="Q359" s="131"/>
      <c r="R359" s="125"/>
      <c r="S359" s="131"/>
    </row>
    <row r="360" spans="2:20">
      <c r="B360" s="125"/>
      <c r="C360" s="125"/>
      <c r="D360" s="131"/>
      <c r="E360" s="125"/>
      <c r="F360" s="125"/>
      <c r="G360" s="131"/>
      <c r="H360" s="131"/>
      <c r="I360" s="131"/>
      <c r="J360" s="131"/>
      <c r="K360" s="125"/>
      <c r="L360" s="131"/>
      <c r="M360" s="125"/>
      <c r="N360" s="125"/>
      <c r="O360" s="125"/>
      <c r="P360" s="125"/>
      <c r="Q360" s="131"/>
      <c r="R360" s="125"/>
      <c r="S360" s="131"/>
    </row>
    <row r="361" spans="2:20">
      <c r="B361" s="125"/>
      <c r="C361" s="125"/>
      <c r="D361" s="131"/>
      <c r="E361" s="125"/>
      <c r="F361" s="125"/>
      <c r="G361" s="131"/>
      <c r="H361" s="131"/>
      <c r="I361" s="131"/>
      <c r="J361" s="131"/>
      <c r="K361" s="125"/>
      <c r="L361" s="131"/>
      <c r="M361" s="125"/>
      <c r="N361" s="125"/>
      <c r="O361" s="125"/>
      <c r="P361" s="125"/>
      <c r="Q361" s="131"/>
      <c r="R361" s="125"/>
      <c r="S361" s="131"/>
    </row>
    <row r="362" spans="2:20">
      <c r="B362" s="125"/>
      <c r="C362" s="125"/>
      <c r="D362" s="131"/>
      <c r="E362" s="125"/>
      <c r="F362" s="125"/>
      <c r="G362" s="131"/>
      <c r="H362" s="131"/>
      <c r="I362" s="131"/>
      <c r="J362" s="131"/>
      <c r="K362" s="125"/>
      <c r="L362" s="131"/>
      <c r="M362" s="125"/>
      <c r="N362" s="125"/>
      <c r="O362" s="125"/>
      <c r="P362" s="125"/>
      <c r="Q362" s="131"/>
      <c r="R362" s="125"/>
      <c r="S362" s="131"/>
    </row>
    <row r="363" spans="2:20">
      <c r="B363" s="125"/>
      <c r="C363" s="125"/>
      <c r="D363" s="131"/>
      <c r="E363" s="125"/>
      <c r="F363" s="125"/>
      <c r="G363" s="131"/>
      <c r="H363" s="131"/>
      <c r="I363" s="131"/>
      <c r="J363" s="131"/>
      <c r="K363" s="125"/>
      <c r="L363" s="131"/>
      <c r="M363" s="125"/>
      <c r="N363" s="125"/>
      <c r="O363" s="125"/>
      <c r="P363" s="125"/>
      <c r="Q363" s="131"/>
      <c r="R363" s="125"/>
      <c r="S363" s="131"/>
    </row>
    <row r="364" spans="2:20">
      <c r="B364" s="125"/>
      <c r="C364" s="125"/>
      <c r="D364" s="131"/>
      <c r="E364" s="125"/>
      <c r="F364" s="125"/>
      <c r="G364" s="131"/>
      <c r="H364" s="131"/>
      <c r="I364" s="131"/>
      <c r="J364" s="131"/>
      <c r="K364" s="125"/>
      <c r="L364" s="131"/>
      <c r="M364" s="125"/>
      <c r="N364" s="125"/>
      <c r="O364" s="125"/>
      <c r="P364" s="125"/>
      <c r="Q364" s="131"/>
      <c r="R364" s="125"/>
      <c r="S364" s="131"/>
    </row>
    <row r="365" spans="2:20">
      <c r="B365" s="125"/>
      <c r="C365" s="125"/>
      <c r="D365" s="131"/>
      <c r="E365" s="125"/>
      <c r="F365" s="125"/>
      <c r="G365" s="131"/>
      <c r="H365" s="131"/>
      <c r="I365" s="131"/>
      <c r="J365" s="131"/>
      <c r="K365" s="125"/>
      <c r="L365" s="131"/>
      <c r="M365" s="125"/>
      <c r="N365" s="125"/>
      <c r="O365" s="125"/>
      <c r="P365" s="125"/>
      <c r="Q365" s="131"/>
      <c r="R365" s="125"/>
      <c r="S365" s="131"/>
    </row>
    <row r="366" spans="2:20">
      <c r="I366" s="125"/>
      <c r="J366" s="125"/>
      <c r="K366" s="125"/>
      <c r="L366" s="125"/>
      <c r="M366" s="125"/>
      <c r="N366" s="125"/>
      <c r="O366" s="125"/>
      <c r="P366" s="125"/>
      <c r="Q366" s="125"/>
      <c r="R366" s="125"/>
      <c r="S366" s="125"/>
      <c r="T366" s="127"/>
    </row>
    <row r="367" spans="2:20">
      <c r="I367" s="125"/>
      <c r="J367" s="125"/>
      <c r="K367" s="125"/>
      <c r="L367" s="125"/>
      <c r="M367" s="125"/>
      <c r="N367" s="125"/>
      <c r="O367" s="125"/>
      <c r="P367" s="125"/>
      <c r="Q367" s="125"/>
      <c r="R367" s="125"/>
      <c r="S367" s="125"/>
      <c r="T367" s="125"/>
    </row>
    <row r="368" spans="2:20">
      <c r="I368" s="125"/>
      <c r="J368" s="125"/>
      <c r="K368" s="125"/>
      <c r="L368" s="125"/>
      <c r="M368" s="125"/>
      <c r="N368" s="125"/>
      <c r="O368" s="125"/>
      <c r="P368" s="125"/>
      <c r="Q368" s="125"/>
      <c r="R368" s="125"/>
      <c r="S368" s="125"/>
      <c r="T368" s="125"/>
    </row>
    <row r="369" spans="5:20">
      <c r="I369" s="125"/>
      <c r="J369" s="125"/>
      <c r="K369" s="125"/>
      <c r="L369" s="125"/>
      <c r="M369" s="125"/>
      <c r="N369" s="125"/>
      <c r="O369" s="125"/>
      <c r="P369" s="125"/>
      <c r="Q369" s="125"/>
      <c r="R369" s="125"/>
      <c r="S369" s="125"/>
      <c r="T369" s="125"/>
    </row>
    <row r="370" spans="5:20">
      <c r="I370" s="125"/>
      <c r="J370" s="125"/>
      <c r="K370" s="125"/>
      <c r="L370" s="125"/>
      <c r="M370" s="125"/>
      <c r="N370" s="125"/>
      <c r="O370" s="125"/>
      <c r="P370" s="125"/>
      <c r="Q370" s="125"/>
      <c r="R370" s="125"/>
      <c r="S370" s="125"/>
      <c r="T370" s="125"/>
    </row>
    <row r="371" spans="5:20">
      <c r="I371" s="125"/>
      <c r="J371" s="125"/>
      <c r="K371" s="125"/>
      <c r="L371" s="125"/>
      <c r="M371" s="125"/>
      <c r="N371" s="125"/>
      <c r="O371" s="125"/>
      <c r="P371" s="125"/>
      <c r="Q371" s="125"/>
      <c r="R371" s="125"/>
      <c r="S371" s="125"/>
      <c r="T371" s="125"/>
    </row>
    <row r="372" spans="5:20">
      <c r="I372" s="125"/>
      <c r="J372" s="125"/>
      <c r="K372" s="125"/>
      <c r="L372" s="125"/>
      <c r="M372" s="125"/>
      <c r="N372" s="125"/>
      <c r="O372" s="125"/>
      <c r="P372" s="125"/>
      <c r="Q372" s="125"/>
      <c r="R372" s="125"/>
      <c r="S372" s="125"/>
      <c r="T372" s="125"/>
    </row>
    <row r="373" spans="5:20">
      <c r="I373" s="125"/>
      <c r="J373" s="125"/>
      <c r="K373" s="125"/>
      <c r="L373" s="125"/>
      <c r="M373" s="125"/>
      <c r="N373" s="125"/>
      <c r="O373" s="125"/>
      <c r="P373" s="125"/>
      <c r="Q373" s="125"/>
      <c r="R373" s="125"/>
      <c r="S373" s="125"/>
      <c r="T373" s="125"/>
    </row>
    <row r="374" spans="5:20">
      <c r="I374" s="125"/>
      <c r="J374" s="125"/>
      <c r="K374" s="125"/>
      <c r="L374" s="125"/>
      <c r="M374" s="125"/>
      <c r="N374" s="125"/>
      <c r="O374" s="125"/>
      <c r="P374" s="125"/>
      <c r="Q374" s="125"/>
      <c r="R374" s="125"/>
      <c r="S374" s="125"/>
      <c r="T374" s="125"/>
    </row>
    <row r="375" spans="5:20">
      <c r="I375" s="125"/>
      <c r="J375" s="125"/>
      <c r="K375" s="125"/>
      <c r="L375" s="125"/>
      <c r="M375" s="125"/>
      <c r="N375" s="125"/>
      <c r="O375" s="125"/>
      <c r="P375" s="125"/>
      <c r="Q375" s="125"/>
      <c r="R375" s="125"/>
      <c r="S375" s="125"/>
      <c r="T375" s="125"/>
    </row>
    <row r="376" spans="5:20">
      <c r="I376" s="125"/>
      <c r="J376" s="125"/>
      <c r="K376" s="125"/>
      <c r="L376" s="125"/>
      <c r="M376" s="125"/>
      <c r="N376" s="125"/>
      <c r="O376" s="125"/>
      <c r="P376" s="125"/>
      <c r="Q376" s="125"/>
      <c r="R376" s="125"/>
      <c r="S376" s="125"/>
      <c r="T376" s="125"/>
    </row>
    <row r="377" spans="5:20">
      <c r="I377" s="125"/>
      <c r="J377" s="125"/>
      <c r="K377" s="125"/>
      <c r="L377" s="125"/>
      <c r="M377" s="125"/>
      <c r="N377" s="125"/>
      <c r="O377" s="125"/>
      <c r="P377" s="125"/>
      <c r="Q377" s="125"/>
      <c r="R377" s="125"/>
      <c r="S377" s="125"/>
      <c r="T377" s="125"/>
    </row>
    <row r="378" spans="5:20">
      <c r="I378" s="125"/>
      <c r="J378" s="125"/>
      <c r="K378" s="125"/>
      <c r="L378" s="125"/>
      <c r="M378" s="125"/>
      <c r="N378" s="125"/>
      <c r="O378" s="125"/>
      <c r="P378" s="125"/>
      <c r="Q378" s="125"/>
      <c r="R378" s="125"/>
      <c r="S378" s="125"/>
      <c r="T378" s="125"/>
    </row>
    <row r="379" spans="5:20">
      <c r="I379" s="125"/>
      <c r="J379" s="125"/>
      <c r="K379" s="125"/>
      <c r="L379" s="125"/>
      <c r="M379" s="125"/>
      <c r="N379" s="125"/>
      <c r="O379" s="125"/>
      <c r="P379" s="125"/>
      <c r="Q379" s="125"/>
      <c r="R379" s="125"/>
      <c r="S379" s="125"/>
      <c r="T379" s="125"/>
    </row>
    <row r="380" spans="5:20">
      <c r="I380" s="125"/>
      <c r="J380" s="125"/>
      <c r="K380" s="125"/>
      <c r="L380" s="125"/>
      <c r="M380" s="125"/>
      <c r="N380" s="125"/>
      <c r="O380" s="125"/>
      <c r="P380" s="125"/>
      <c r="Q380" s="125"/>
      <c r="R380" s="125"/>
      <c r="S380" s="125"/>
      <c r="T380" s="125"/>
    </row>
    <row r="381" spans="5:20">
      <c r="I381" s="125"/>
      <c r="J381" s="125"/>
      <c r="K381" s="125"/>
      <c r="L381" s="125"/>
      <c r="M381" s="125"/>
      <c r="N381" s="125"/>
      <c r="O381" s="125"/>
      <c r="P381" s="125"/>
      <c r="Q381" s="125"/>
      <c r="R381" s="125"/>
      <c r="S381" s="125"/>
      <c r="T381" s="125"/>
    </row>
    <row r="382" spans="5:20">
      <c r="E382" s="127"/>
      <c r="F382" s="127"/>
      <c r="G382" s="125"/>
      <c r="H382" s="125"/>
      <c r="I382" s="125"/>
      <c r="J382" s="125"/>
      <c r="K382" s="127"/>
      <c r="L382" s="125"/>
      <c r="M382" s="127"/>
      <c r="N382" s="127"/>
      <c r="O382" s="127"/>
      <c r="P382" s="127"/>
      <c r="Q382" s="125"/>
      <c r="R382" s="127"/>
      <c r="S382" s="125"/>
      <c r="T382" s="127"/>
    </row>
    <row r="383" spans="5:20">
      <c r="E383" s="127"/>
      <c r="F383" s="127"/>
      <c r="G383" s="125"/>
      <c r="H383" s="125"/>
      <c r="I383" s="125"/>
      <c r="J383" s="125"/>
      <c r="K383" s="127"/>
      <c r="L383" s="125"/>
      <c r="M383" s="127"/>
      <c r="N383" s="127"/>
      <c r="O383" s="127"/>
      <c r="P383" s="127"/>
      <c r="Q383" s="125"/>
      <c r="R383" s="127"/>
      <c r="S383" s="125"/>
      <c r="T383" s="127"/>
    </row>
    <row r="384" spans="5:20">
      <c r="E384" s="127"/>
      <c r="F384" s="127"/>
      <c r="G384" s="125"/>
      <c r="H384" s="125"/>
      <c r="I384" s="125"/>
      <c r="J384" s="125"/>
      <c r="K384" s="127"/>
      <c r="L384" s="125"/>
      <c r="M384" s="127"/>
      <c r="N384" s="127"/>
      <c r="O384" s="127"/>
      <c r="P384" s="127"/>
      <c r="Q384" s="125"/>
      <c r="R384" s="127"/>
      <c r="S384" s="125"/>
      <c r="T384" s="127"/>
    </row>
    <row r="385" spans="5:20">
      <c r="E385" s="127"/>
      <c r="F385" s="127"/>
      <c r="G385" s="125"/>
      <c r="H385" s="125"/>
      <c r="I385" s="125"/>
      <c r="J385" s="125"/>
      <c r="K385" s="127"/>
      <c r="L385" s="125"/>
      <c r="M385" s="127"/>
      <c r="N385" s="127"/>
      <c r="O385" s="127"/>
      <c r="P385" s="127"/>
      <c r="Q385" s="125"/>
      <c r="R385" s="127"/>
      <c r="S385" s="125"/>
      <c r="T385" s="127"/>
    </row>
    <row r="386" spans="5:20">
      <c r="E386" s="127"/>
      <c r="F386" s="127"/>
      <c r="G386" s="125"/>
      <c r="H386" s="125"/>
      <c r="I386" s="125"/>
      <c r="J386" s="125"/>
      <c r="K386" s="127"/>
      <c r="L386" s="125"/>
      <c r="M386" s="127"/>
      <c r="N386" s="127"/>
      <c r="O386" s="127"/>
      <c r="P386" s="127"/>
      <c r="Q386" s="125"/>
      <c r="R386" s="127"/>
      <c r="S386" s="125"/>
      <c r="T386" s="127"/>
    </row>
    <row r="387" spans="5:20">
      <c r="E387" s="127"/>
      <c r="F387" s="127"/>
      <c r="G387" s="125"/>
      <c r="H387" s="125"/>
      <c r="I387" s="125"/>
      <c r="J387" s="125"/>
      <c r="K387" s="127"/>
      <c r="L387" s="125"/>
      <c r="M387" s="127"/>
      <c r="N387" s="127"/>
      <c r="O387" s="127"/>
      <c r="P387" s="127"/>
      <c r="Q387" s="125"/>
      <c r="R387" s="127"/>
      <c r="S387" s="125"/>
      <c r="T387" s="127"/>
    </row>
    <row r="388" spans="5:20">
      <c r="E388" s="127"/>
      <c r="F388" s="127"/>
      <c r="G388" s="125"/>
      <c r="H388" s="125"/>
      <c r="I388" s="125"/>
      <c r="J388" s="125"/>
      <c r="K388" s="127"/>
      <c r="L388" s="125"/>
      <c r="M388" s="127"/>
      <c r="N388" s="127"/>
      <c r="O388" s="127"/>
      <c r="P388" s="127"/>
      <c r="Q388" s="125"/>
      <c r="R388" s="127"/>
      <c r="S388" s="125"/>
      <c r="T388" s="127"/>
    </row>
    <row r="389" spans="5:20">
      <c r="E389" s="127"/>
      <c r="F389" s="127"/>
      <c r="G389" s="125"/>
      <c r="H389" s="125"/>
      <c r="I389" s="125"/>
      <c r="J389" s="125"/>
      <c r="K389" s="127"/>
      <c r="L389" s="125"/>
      <c r="M389" s="127"/>
      <c r="N389" s="127"/>
      <c r="O389" s="127"/>
      <c r="P389" s="127"/>
      <c r="Q389" s="125"/>
      <c r="R389" s="127"/>
      <c r="S389" s="125"/>
      <c r="T389" s="127"/>
    </row>
    <row r="390" spans="5:20">
      <c r="E390" s="127"/>
      <c r="F390" s="127"/>
      <c r="G390" s="125"/>
      <c r="H390" s="125"/>
      <c r="I390" s="125"/>
      <c r="J390" s="125"/>
      <c r="K390" s="127"/>
      <c r="L390" s="125"/>
      <c r="M390" s="127"/>
      <c r="N390" s="127"/>
      <c r="O390" s="127"/>
      <c r="P390" s="127"/>
      <c r="Q390" s="125"/>
      <c r="R390" s="127"/>
      <c r="S390" s="125"/>
      <c r="T390" s="127"/>
    </row>
    <row r="391" spans="5:20">
      <c r="E391" s="127"/>
      <c r="F391" s="127"/>
      <c r="G391" s="125"/>
      <c r="H391" s="125"/>
      <c r="I391" s="125"/>
      <c r="J391" s="125"/>
      <c r="K391" s="127"/>
      <c r="L391" s="125"/>
      <c r="M391" s="127"/>
      <c r="N391" s="127"/>
      <c r="O391" s="127"/>
      <c r="P391" s="127"/>
      <c r="Q391" s="125"/>
      <c r="R391" s="127"/>
      <c r="S391" s="125"/>
      <c r="T391" s="127"/>
    </row>
    <row r="392" spans="5:20">
      <c r="E392" s="127"/>
      <c r="F392" s="127"/>
      <c r="G392" s="125"/>
      <c r="H392" s="125"/>
      <c r="I392" s="125"/>
      <c r="J392" s="125"/>
      <c r="K392" s="127"/>
      <c r="L392" s="125"/>
      <c r="M392" s="127"/>
      <c r="N392" s="127"/>
      <c r="O392" s="127"/>
      <c r="P392" s="127"/>
      <c r="Q392" s="125"/>
      <c r="R392" s="127"/>
      <c r="S392" s="125"/>
      <c r="T392" s="127"/>
    </row>
    <row r="393" spans="5:20">
      <c r="E393" s="127"/>
      <c r="F393" s="127"/>
      <c r="G393" s="125"/>
      <c r="H393" s="125"/>
      <c r="I393" s="125"/>
      <c r="J393" s="125"/>
      <c r="K393" s="127"/>
      <c r="L393" s="125"/>
      <c r="M393" s="127"/>
      <c r="N393" s="127"/>
      <c r="O393" s="127"/>
      <c r="P393" s="127"/>
      <c r="Q393" s="125"/>
      <c r="R393" s="127"/>
      <c r="S393" s="125"/>
      <c r="T393" s="127"/>
    </row>
    <row r="394" spans="5:20">
      <c r="E394" s="127"/>
      <c r="F394" s="127"/>
      <c r="G394" s="125"/>
      <c r="H394" s="125"/>
      <c r="I394" s="125"/>
      <c r="J394" s="125"/>
      <c r="K394" s="127"/>
      <c r="L394" s="125"/>
      <c r="M394" s="127"/>
      <c r="N394" s="127"/>
      <c r="O394" s="127"/>
      <c r="P394" s="127"/>
      <c r="Q394" s="125"/>
      <c r="R394" s="127"/>
      <c r="S394" s="125"/>
      <c r="T394" s="127"/>
    </row>
    <row r="395" spans="5:20">
      <c r="E395" s="127"/>
      <c r="F395" s="127"/>
      <c r="G395" s="125"/>
      <c r="H395" s="125"/>
      <c r="I395" s="125"/>
      <c r="J395" s="125"/>
      <c r="K395" s="127"/>
      <c r="L395" s="125"/>
      <c r="M395" s="127"/>
      <c r="N395" s="127"/>
      <c r="O395" s="127"/>
      <c r="P395" s="127"/>
      <c r="Q395" s="125"/>
      <c r="R395" s="127"/>
      <c r="S395" s="125"/>
      <c r="T395" s="127"/>
    </row>
    <row r="396" spans="5:20">
      <c r="E396" s="127"/>
      <c r="F396" s="127"/>
      <c r="G396" s="125"/>
      <c r="H396" s="125"/>
      <c r="I396" s="125"/>
      <c r="J396" s="125"/>
      <c r="K396" s="127"/>
      <c r="L396" s="125"/>
      <c r="M396" s="127"/>
      <c r="N396" s="127"/>
      <c r="O396" s="127"/>
      <c r="P396" s="127"/>
      <c r="Q396" s="125"/>
      <c r="R396" s="127"/>
      <c r="S396" s="125"/>
      <c r="T396" s="127"/>
    </row>
    <row r="397" spans="5:20">
      <c r="E397" s="127"/>
      <c r="F397" s="127"/>
      <c r="G397" s="125"/>
      <c r="H397" s="125"/>
      <c r="I397" s="125"/>
      <c r="J397" s="125"/>
      <c r="K397" s="127"/>
      <c r="L397" s="125"/>
      <c r="M397" s="127"/>
      <c r="N397" s="127"/>
      <c r="O397" s="127"/>
      <c r="P397" s="127"/>
      <c r="Q397" s="125"/>
      <c r="R397" s="127"/>
      <c r="S397" s="125"/>
      <c r="T397" s="127"/>
    </row>
    <row r="398" spans="5:20">
      <c r="E398" s="127"/>
      <c r="F398" s="127"/>
      <c r="G398" s="125"/>
      <c r="H398" s="125"/>
      <c r="I398" s="125"/>
      <c r="J398" s="125"/>
      <c r="K398" s="127"/>
      <c r="L398" s="125"/>
      <c r="M398" s="127"/>
      <c r="N398" s="127"/>
      <c r="O398" s="127"/>
      <c r="P398" s="127"/>
      <c r="Q398" s="125"/>
      <c r="R398" s="127"/>
      <c r="S398" s="125"/>
      <c r="T398" s="127"/>
    </row>
    <row r="399" spans="5:20">
      <c r="E399" s="127"/>
      <c r="F399" s="127"/>
      <c r="G399" s="125"/>
      <c r="H399" s="125"/>
      <c r="I399" s="125"/>
      <c r="J399" s="125"/>
      <c r="K399" s="127"/>
      <c r="L399" s="125"/>
      <c r="M399" s="127"/>
      <c r="N399" s="127"/>
      <c r="O399" s="127"/>
      <c r="P399" s="127"/>
      <c r="Q399" s="125"/>
      <c r="R399" s="127"/>
      <c r="S399" s="125"/>
      <c r="T399" s="127"/>
    </row>
    <row r="400" spans="5:20">
      <c r="E400" s="127"/>
      <c r="F400" s="127"/>
      <c r="G400" s="125"/>
      <c r="H400" s="125"/>
      <c r="I400" s="125"/>
      <c r="J400" s="125"/>
      <c r="K400" s="127"/>
      <c r="L400" s="125"/>
      <c r="M400" s="127"/>
      <c r="N400" s="127"/>
      <c r="O400" s="127"/>
      <c r="P400" s="127"/>
      <c r="Q400" s="125"/>
      <c r="R400" s="127"/>
      <c r="S400" s="125"/>
      <c r="T400" s="127"/>
    </row>
    <row r="401" spans="5:20">
      <c r="E401" s="127"/>
      <c r="F401" s="127"/>
      <c r="G401" s="125"/>
      <c r="H401" s="125"/>
      <c r="I401" s="125"/>
      <c r="J401" s="125"/>
      <c r="K401" s="127"/>
      <c r="L401" s="125"/>
      <c r="M401" s="127"/>
      <c r="N401" s="127"/>
      <c r="O401" s="127"/>
      <c r="P401" s="127"/>
      <c r="Q401" s="125"/>
      <c r="R401" s="127"/>
      <c r="S401" s="125"/>
      <c r="T401" s="127"/>
    </row>
    <row r="402" spans="5:20">
      <c r="E402" s="127"/>
      <c r="F402" s="127"/>
      <c r="G402" s="125"/>
      <c r="H402" s="125"/>
      <c r="I402" s="125"/>
      <c r="J402" s="125"/>
      <c r="K402" s="127"/>
      <c r="L402" s="125"/>
      <c r="M402" s="127"/>
      <c r="N402" s="127"/>
      <c r="O402" s="127"/>
      <c r="P402" s="127"/>
      <c r="Q402" s="125"/>
      <c r="R402" s="127"/>
      <c r="S402" s="125"/>
      <c r="T402" s="127"/>
    </row>
    <row r="403" spans="5:20">
      <c r="E403" s="127"/>
      <c r="F403" s="127"/>
      <c r="G403" s="125"/>
      <c r="H403" s="125"/>
      <c r="I403" s="125"/>
      <c r="J403" s="125"/>
      <c r="K403" s="127"/>
      <c r="L403" s="125"/>
      <c r="M403" s="127"/>
      <c r="N403" s="127"/>
      <c r="O403" s="127"/>
      <c r="P403" s="127"/>
      <c r="Q403" s="125"/>
      <c r="R403" s="127"/>
      <c r="S403" s="125"/>
      <c r="T403" s="127"/>
    </row>
    <row r="404" spans="5:20">
      <c r="E404" s="127"/>
      <c r="F404" s="127"/>
      <c r="G404" s="125"/>
      <c r="H404" s="125"/>
      <c r="I404" s="125"/>
      <c r="J404" s="125"/>
      <c r="K404" s="127"/>
      <c r="L404" s="125"/>
      <c r="M404" s="127"/>
      <c r="N404" s="127"/>
      <c r="O404" s="127"/>
      <c r="P404" s="127"/>
      <c r="Q404" s="125"/>
      <c r="R404" s="127"/>
      <c r="S404" s="125"/>
      <c r="T404" s="127"/>
    </row>
    <row r="405" spans="5:20">
      <c r="E405" s="127"/>
      <c r="F405" s="127"/>
      <c r="G405" s="125"/>
      <c r="H405" s="125"/>
      <c r="I405" s="125"/>
      <c r="J405" s="125"/>
      <c r="K405" s="127"/>
      <c r="L405" s="125"/>
      <c r="M405" s="127"/>
      <c r="N405" s="127"/>
      <c r="O405" s="127"/>
      <c r="P405" s="127"/>
      <c r="Q405" s="125"/>
      <c r="R405" s="127"/>
      <c r="S405" s="125"/>
      <c r="T405" s="127"/>
    </row>
    <row r="406" spans="5:20">
      <c r="E406" s="127"/>
      <c r="F406" s="127"/>
      <c r="G406" s="125"/>
      <c r="H406" s="125"/>
      <c r="I406" s="125"/>
      <c r="J406" s="125"/>
      <c r="K406" s="127"/>
      <c r="L406" s="125"/>
      <c r="M406" s="127"/>
      <c r="N406" s="127"/>
      <c r="O406" s="127"/>
      <c r="P406" s="127"/>
      <c r="Q406" s="125"/>
      <c r="R406" s="127"/>
      <c r="S406" s="125"/>
      <c r="T406" s="127"/>
    </row>
    <row r="407" spans="5:20">
      <c r="E407" s="127"/>
      <c r="F407" s="127"/>
      <c r="G407" s="125"/>
      <c r="H407" s="125"/>
      <c r="I407" s="125"/>
      <c r="J407" s="125"/>
      <c r="K407" s="127"/>
      <c r="L407" s="125"/>
      <c r="M407" s="127"/>
      <c r="N407" s="127"/>
      <c r="O407" s="127"/>
      <c r="P407" s="127"/>
      <c r="Q407" s="125"/>
      <c r="R407" s="127"/>
      <c r="S407" s="125"/>
      <c r="T407" s="127"/>
    </row>
    <row r="408" spans="5:20">
      <c r="E408" s="127"/>
      <c r="F408" s="127"/>
      <c r="G408" s="125"/>
      <c r="H408" s="125"/>
      <c r="I408" s="125"/>
      <c r="J408" s="125"/>
      <c r="K408" s="127"/>
      <c r="L408" s="125"/>
      <c r="M408" s="127"/>
      <c r="N408" s="127"/>
      <c r="O408" s="127"/>
      <c r="P408" s="127"/>
      <c r="Q408" s="125"/>
      <c r="R408" s="127"/>
      <c r="S408" s="125"/>
      <c r="T408" s="127"/>
    </row>
    <row r="409" spans="5:20">
      <c r="E409" s="127"/>
      <c r="F409" s="127"/>
      <c r="G409" s="125"/>
      <c r="H409" s="125"/>
      <c r="I409" s="125"/>
      <c r="J409" s="125"/>
      <c r="K409" s="127"/>
      <c r="L409" s="125"/>
      <c r="M409" s="127"/>
      <c r="N409" s="127"/>
      <c r="O409" s="127"/>
      <c r="P409" s="127"/>
      <c r="Q409" s="125"/>
      <c r="R409" s="127"/>
      <c r="S409" s="125"/>
      <c r="T409" s="127"/>
    </row>
    <row r="410" spans="5:20">
      <c r="E410" s="127"/>
      <c r="F410" s="127"/>
      <c r="G410" s="125"/>
      <c r="H410" s="125"/>
      <c r="I410" s="125"/>
      <c r="J410" s="125"/>
      <c r="K410" s="127"/>
      <c r="L410" s="125"/>
      <c r="M410" s="127"/>
      <c r="N410" s="127"/>
      <c r="O410" s="127"/>
      <c r="P410" s="127"/>
      <c r="Q410" s="125"/>
      <c r="R410" s="127"/>
      <c r="S410" s="125"/>
      <c r="T410" s="127"/>
    </row>
    <row r="411" spans="5:20">
      <c r="E411" s="127"/>
      <c r="F411" s="127"/>
      <c r="G411" s="125"/>
      <c r="H411" s="125"/>
      <c r="I411" s="125"/>
      <c r="J411" s="125"/>
      <c r="K411" s="127"/>
      <c r="L411" s="125"/>
      <c r="M411" s="127"/>
      <c r="N411" s="127"/>
      <c r="O411" s="127"/>
      <c r="P411" s="127"/>
      <c r="Q411" s="125"/>
      <c r="R411" s="127"/>
      <c r="S411" s="125"/>
      <c r="T411" s="127"/>
    </row>
    <row r="412" spans="5:20">
      <c r="E412" s="127"/>
      <c r="F412" s="127"/>
      <c r="G412" s="125"/>
      <c r="H412" s="125"/>
      <c r="I412" s="125"/>
      <c r="J412" s="125"/>
      <c r="K412" s="127"/>
      <c r="L412" s="125"/>
      <c r="M412" s="127"/>
      <c r="N412" s="127"/>
      <c r="O412" s="127"/>
      <c r="P412" s="127"/>
      <c r="Q412" s="125"/>
      <c r="R412" s="127"/>
      <c r="S412" s="125"/>
      <c r="T412" s="127"/>
    </row>
    <row r="413" spans="5:20">
      <c r="E413" s="127"/>
      <c r="F413" s="127"/>
      <c r="G413" s="125"/>
      <c r="H413" s="125"/>
      <c r="I413" s="125"/>
      <c r="J413" s="125"/>
      <c r="K413" s="127"/>
      <c r="L413" s="125"/>
      <c r="M413" s="127"/>
      <c r="N413" s="127"/>
      <c r="O413" s="127"/>
      <c r="P413" s="127"/>
      <c r="Q413" s="125"/>
      <c r="R413" s="127"/>
      <c r="S413" s="125"/>
      <c r="T413" s="127"/>
    </row>
    <row r="414" spans="5:20">
      <c r="E414" s="127"/>
      <c r="F414" s="127"/>
      <c r="G414" s="125"/>
      <c r="H414" s="125"/>
      <c r="I414" s="125"/>
      <c r="J414" s="125"/>
      <c r="K414" s="127"/>
      <c r="L414" s="125"/>
      <c r="M414" s="127"/>
      <c r="N414" s="127"/>
      <c r="O414" s="127"/>
      <c r="P414" s="127"/>
      <c r="Q414" s="125"/>
      <c r="R414" s="127"/>
      <c r="S414" s="125"/>
      <c r="T414" s="127"/>
    </row>
    <row r="415" spans="5:20">
      <c r="E415" s="127"/>
      <c r="F415" s="127"/>
      <c r="G415" s="125"/>
      <c r="H415" s="125"/>
      <c r="I415" s="125"/>
      <c r="J415" s="125"/>
      <c r="K415" s="127"/>
      <c r="L415" s="125"/>
      <c r="M415" s="127"/>
      <c r="N415" s="127"/>
      <c r="O415" s="127"/>
      <c r="P415" s="127"/>
      <c r="Q415" s="125"/>
      <c r="R415" s="127"/>
      <c r="S415" s="125"/>
      <c r="T415" s="127"/>
    </row>
    <row r="416" spans="5:20">
      <c r="E416" s="127"/>
      <c r="F416" s="127"/>
      <c r="G416" s="125"/>
      <c r="H416" s="125"/>
      <c r="I416" s="125"/>
      <c r="J416" s="125"/>
      <c r="K416" s="127"/>
      <c r="L416" s="125"/>
      <c r="M416" s="127"/>
      <c r="N416" s="127"/>
      <c r="O416" s="127"/>
      <c r="P416" s="127"/>
      <c r="Q416" s="125"/>
      <c r="R416" s="127"/>
      <c r="S416" s="125"/>
      <c r="T416" s="127"/>
    </row>
    <row r="417" spans="5:20">
      <c r="E417" s="127"/>
      <c r="F417" s="127"/>
      <c r="G417" s="125"/>
      <c r="H417" s="125"/>
      <c r="I417" s="125"/>
      <c r="J417" s="125"/>
      <c r="K417" s="127"/>
      <c r="L417" s="125"/>
      <c r="M417" s="127"/>
      <c r="N417" s="127"/>
      <c r="O417" s="127"/>
      <c r="P417" s="127"/>
      <c r="Q417" s="125"/>
      <c r="R417" s="127"/>
      <c r="S417" s="125"/>
      <c r="T417" s="127"/>
    </row>
    <row r="418" spans="5:20">
      <c r="E418" s="127"/>
      <c r="F418" s="127"/>
      <c r="G418" s="125"/>
      <c r="H418" s="125"/>
      <c r="I418" s="125"/>
      <c r="J418" s="125"/>
      <c r="K418" s="127"/>
      <c r="L418" s="125"/>
      <c r="M418" s="127"/>
      <c r="N418" s="127"/>
      <c r="O418" s="127"/>
      <c r="P418" s="127"/>
      <c r="Q418" s="125"/>
      <c r="R418" s="127"/>
      <c r="S418" s="125"/>
      <c r="T418" s="127"/>
    </row>
    <row r="419" spans="5:20">
      <c r="E419" s="127"/>
      <c r="F419" s="127"/>
      <c r="G419" s="125"/>
      <c r="H419" s="125"/>
      <c r="I419" s="125"/>
      <c r="J419" s="125"/>
      <c r="K419" s="127"/>
      <c r="L419" s="125"/>
      <c r="M419" s="127"/>
      <c r="N419" s="127"/>
      <c r="O419" s="127"/>
      <c r="P419" s="127"/>
      <c r="Q419" s="125"/>
      <c r="R419" s="127"/>
      <c r="S419" s="125"/>
      <c r="T419" s="127"/>
    </row>
    <row r="420" spans="5:20">
      <c r="E420" s="127"/>
      <c r="F420" s="127"/>
      <c r="G420" s="125"/>
      <c r="H420" s="125"/>
      <c r="I420" s="125"/>
      <c r="J420" s="125"/>
      <c r="K420" s="127"/>
      <c r="L420" s="125"/>
      <c r="M420" s="127"/>
      <c r="N420" s="127"/>
      <c r="O420" s="127"/>
      <c r="P420" s="127"/>
      <c r="Q420" s="125"/>
      <c r="R420" s="127"/>
      <c r="S420" s="125"/>
      <c r="T420" s="127"/>
    </row>
    <row r="421" spans="5:20">
      <c r="E421" s="127"/>
      <c r="F421" s="127"/>
      <c r="G421" s="125"/>
      <c r="H421" s="125"/>
      <c r="I421" s="125"/>
      <c r="J421" s="125"/>
      <c r="K421" s="127"/>
      <c r="L421" s="125"/>
      <c r="M421" s="127"/>
      <c r="N421" s="127"/>
      <c r="O421" s="127"/>
      <c r="P421" s="127"/>
      <c r="Q421" s="125"/>
      <c r="R421" s="127"/>
      <c r="S421" s="125"/>
      <c r="T421" s="127"/>
    </row>
    <row r="422" spans="5:20">
      <c r="E422" s="127"/>
      <c r="F422" s="127"/>
      <c r="G422" s="125"/>
      <c r="H422" s="125"/>
      <c r="I422" s="125"/>
      <c r="J422" s="125"/>
      <c r="K422" s="127"/>
      <c r="L422" s="125"/>
      <c r="M422" s="127"/>
      <c r="N422" s="127"/>
      <c r="O422" s="127"/>
      <c r="P422" s="127"/>
      <c r="Q422" s="125"/>
      <c r="R422" s="127"/>
      <c r="S422" s="125"/>
      <c r="T422" s="127"/>
    </row>
    <row r="423" spans="5:20">
      <c r="E423" s="127"/>
      <c r="F423" s="127"/>
      <c r="G423" s="125"/>
      <c r="H423" s="125"/>
      <c r="I423" s="125"/>
      <c r="J423" s="125"/>
      <c r="K423" s="127"/>
      <c r="L423" s="125"/>
      <c r="M423" s="127"/>
      <c r="N423" s="127"/>
      <c r="O423" s="127"/>
      <c r="P423" s="127"/>
      <c r="Q423" s="125"/>
      <c r="R423" s="127"/>
      <c r="S423" s="125"/>
      <c r="T423" s="127"/>
    </row>
    <row r="424" spans="5:20">
      <c r="E424" s="127"/>
      <c r="F424" s="127"/>
      <c r="G424" s="125"/>
      <c r="H424" s="125"/>
      <c r="I424" s="125"/>
      <c r="J424" s="125"/>
      <c r="K424" s="127"/>
      <c r="L424" s="125"/>
      <c r="M424" s="127"/>
      <c r="N424" s="127"/>
      <c r="O424" s="127"/>
      <c r="P424" s="127"/>
      <c r="Q424" s="125"/>
      <c r="R424" s="127"/>
      <c r="S424" s="125"/>
      <c r="T424" s="127"/>
    </row>
    <row r="425" spans="5:20">
      <c r="E425" s="127"/>
      <c r="F425" s="127"/>
      <c r="G425" s="125"/>
      <c r="H425" s="125"/>
      <c r="I425" s="125"/>
      <c r="J425" s="125"/>
      <c r="K425" s="127"/>
      <c r="L425" s="125"/>
      <c r="M425" s="127"/>
      <c r="N425" s="127"/>
      <c r="O425" s="127"/>
      <c r="P425" s="127"/>
      <c r="Q425" s="125"/>
      <c r="R425" s="127"/>
      <c r="S425" s="125"/>
      <c r="T425" s="127"/>
    </row>
    <row r="426" spans="5:20">
      <c r="E426" s="127"/>
      <c r="F426" s="127"/>
      <c r="G426" s="125"/>
      <c r="H426" s="125"/>
      <c r="I426" s="125"/>
      <c r="J426" s="125"/>
      <c r="K426" s="127"/>
      <c r="L426" s="125"/>
      <c r="M426" s="127"/>
      <c r="N426" s="127"/>
      <c r="O426" s="127"/>
      <c r="P426" s="127"/>
      <c r="Q426" s="125"/>
      <c r="R426" s="127"/>
      <c r="S426" s="125"/>
      <c r="T426" s="127"/>
    </row>
    <row r="427" spans="5:20">
      <c r="E427" s="127"/>
      <c r="F427" s="127"/>
      <c r="G427" s="125"/>
      <c r="H427" s="125"/>
      <c r="I427" s="125"/>
      <c r="J427" s="125"/>
      <c r="K427" s="127"/>
      <c r="L427" s="125"/>
      <c r="M427" s="127"/>
      <c r="N427" s="127"/>
      <c r="O427" s="127"/>
      <c r="P427" s="127"/>
      <c r="Q427" s="125"/>
      <c r="R427" s="127"/>
      <c r="S427" s="125"/>
      <c r="T427" s="127"/>
    </row>
    <row r="428" spans="5:20">
      <c r="E428" s="127"/>
      <c r="F428" s="127"/>
      <c r="G428" s="125"/>
      <c r="H428" s="125"/>
      <c r="I428" s="125"/>
      <c r="J428" s="125"/>
      <c r="K428" s="127"/>
      <c r="L428" s="125"/>
      <c r="M428" s="127"/>
      <c r="N428" s="127"/>
      <c r="O428" s="127"/>
      <c r="P428" s="127"/>
      <c r="Q428" s="125"/>
      <c r="R428" s="127"/>
      <c r="S428" s="125"/>
      <c r="T428" s="127"/>
    </row>
    <row r="429" spans="5:20">
      <c r="E429" s="127"/>
      <c r="F429" s="127"/>
      <c r="G429" s="125"/>
      <c r="H429" s="125"/>
      <c r="I429" s="125"/>
      <c r="J429" s="125"/>
      <c r="K429" s="127"/>
      <c r="L429" s="125"/>
      <c r="M429" s="127"/>
      <c r="N429" s="127"/>
      <c r="O429" s="127"/>
      <c r="P429" s="127"/>
      <c r="Q429" s="125"/>
      <c r="R429" s="127"/>
      <c r="S429" s="125"/>
      <c r="T429" s="127"/>
    </row>
    <row r="430" spans="5:20">
      <c r="E430" s="127"/>
      <c r="F430" s="127"/>
      <c r="G430" s="125"/>
      <c r="H430" s="125"/>
      <c r="I430" s="125"/>
      <c r="J430" s="125"/>
      <c r="K430" s="127"/>
      <c r="L430" s="125"/>
      <c r="M430" s="127"/>
      <c r="N430" s="127"/>
      <c r="O430" s="127"/>
      <c r="P430" s="127"/>
      <c r="Q430" s="125"/>
      <c r="R430" s="127"/>
      <c r="S430" s="125"/>
      <c r="T430" s="127"/>
    </row>
    <row r="431" spans="5:20">
      <c r="E431" s="127"/>
      <c r="F431" s="127"/>
      <c r="G431" s="125"/>
      <c r="H431" s="125"/>
      <c r="I431" s="125"/>
      <c r="J431" s="125"/>
      <c r="K431" s="127"/>
      <c r="L431" s="125"/>
      <c r="M431" s="127"/>
      <c r="N431" s="127"/>
      <c r="O431" s="127"/>
      <c r="P431" s="127"/>
      <c r="Q431" s="125"/>
      <c r="R431" s="127"/>
      <c r="S431" s="125"/>
      <c r="T431" s="127"/>
    </row>
    <row r="432" spans="5:20">
      <c r="E432" s="127"/>
      <c r="F432" s="127"/>
      <c r="G432" s="125"/>
      <c r="H432" s="125"/>
      <c r="I432" s="125"/>
      <c r="J432" s="125"/>
      <c r="K432" s="127"/>
      <c r="L432" s="125"/>
      <c r="M432" s="127"/>
      <c r="N432" s="127"/>
      <c r="O432" s="127"/>
      <c r="P432" s="127"/>
      <c r="Q432" s="125"/>
      <c r="R432" s="127"/>
      <c r="S432" s="125"/>
      <c r="T432" s="127"/>
    </row>
    <row r="433" spans="5:20">
      <c r="E433" s="127"/>
      <c r="F433" s="127"/>
      <c r="G433" s="125"/>
      <c r="H433" s="125"/>
      <c r="I433" s="125"/>
      <c r="J433" s="125"/>
      <c r="K433" s="127"/>
      <c r="L433" s="125"/>
      <c r="M433" s="127"/>
      <c r="N433" s="127"/>
      <c r="O433" s="127"/>
      <c r="P433" s="127"/>
      <c r="Q433" s="125"/>
      <c r="R433" s="127"/>
      <c r="S433" s="125"/>
      <c r="T433" s="127"/>
    </row>
    <row r="434" spans="5:20">
      <c r="E434" s="127"/>
      <c r="F434" s="127"/>
      <c r="G434" s="125"/>
      <c r="H434" s="125"/>
      <c r="I434" s="125"/>
      <c r="J434" s="125"/>
      <c r="K434" s="127"/>
      <c r="L434" s="125"/>
      <c r="M434" s="127"/>
      <c r="N434" s="127"/>
      <c r="O434" s="127"/>
      <c r="P434" s="127"/>
      <c r="Q434" s="125"/>
      <c r="R434" s="127"/>
      <c r="S434" s="125"/>
      <c r="T434" s="127"/>
    </row>
    <row r="435" spans="5:20">
      <c r="E435" s="127"/>
      <c r="F435" s="127"/>
      <c r="G435" s="125"/>
      <c r="H435" s="125"/>
      <c r="I435" s="125"/>
      <c r="J435" s="125"/>
      <c r="K435" s="127"/>
      <c r="L435" s="125"/>
      <c r="M435" s="127"/>
      <c r="N435" s="127"/>
      <c r="O435" s="127"/>
      <c r="P435" s="127"/>
      <c r="Q435" s="125"/>
      <c r="R435" s="127"/>
      <c r="S435" s="125"/>
      <c r="T435" s="127"/>
    </row>
    <row r="436" spans="5:20">
      <c r="E436" s="127"/>
      <c r="F436" s="127"/>
      <c r="G436" s="125"/>
      <c r="H436" s="125"/>
      <c r="I436" s="125"/>
      <c r="J436" s="125"/>
      <c r="K436" s="127"/>
      <c r="L436" s="125"/>
      <c r="M436" s="127"/>
      <c r="N436" s="127"/>
      <c r="O436" s="127"/>
      <c r="P436" s="127"/>
      <c r="Q436" s="125"/>
      <c r="R436" s="127"/>
      <c r="S436" s="125"/>
      <c r="T436" s="127"/>
    </row>
    <row r="437" spans="5:20">
      <c r="E437" s="127"/>
      <c r="F437" s="127"/>
      <c r="G437" s="125"/>
      <c r="H437" s="125"/>
      <c r="I437" s="125"/>
      <c r="J437" s="125"/>
      <c r="K437" s="127"/>
      <c r="L437" s="125"/>
      <c r="M437" s="127"/>
      <c r="N437" s="127"/>
      <c r="O437" s="127"/>
      <c r="P437" s="127"/>
      <c r="Q437" s="125"/>
      <c r="R437" s="127"/>
      <c r="S437" s="125"/>
      <c r="T437" s="127"/>
    </row>
    <row r="438" spans="5:20">
      <c r="E438" s="127"/>
      <c r="F438" s="127"/>
      <c r="G438" s="125"/>
      <c r="H438" s="125"/>
      <c r="I438" s="125"/>
      <c r="J438" s="125"/>
      <c r="K438" s="127"/>
      <c r="L438" s="125"/>
      <c r="M438" s="127"/>
      <c r="N438" s="127"/>
      <c r="O438" s="127"/>
      <c r="P438" s="127"/>
      <c r="Q438" s="125"/>
      <c r="R438" s="127"/>
      <c r="S438" s="125"/>
      <c r="T438" s="127"/>
    </row>
    <row r="439" spans="5:20">
      <c r="E439" s="127"/>
      <c r="F439" s="127"/>
      <c r="G439" s="125"/>
      <c r="H439" s="125"/>
      <c r="I439" s="125"/>
      <c r="J439" s="125"/>
      <c r="K439" s="127"/>
      <c r="L439" s="125"/>
      <c r="M439" s="127"/>
      <c r="N439" s="127"/>
      <c r="O439" s="127"/>
      <c r="P439" s="127"/>
      <c r="Q439" s="125"/>
      <c r="R439" s="127"/>
      <c r="S439" s="125"/>
      <c r="T439" s="127"/>
    </row>
    <row r="440" spans="5:20">
      <c r="E440" s="127"/>
      <c r="F440" s="127"/>
      <c r="G440" s="125"/>
      <c r="H440" s="125"/>
      <c r="I440" s="125"/>
      <c r="J440" s="125"/>
      <c r="K440" s="127"/>
      <c r="L440" s="125"/>
      <c r="M440" s="127"/>
      <c r="N440" s="127"/>
      <c r="O440" s="127"/>
      <c r="P440" s="127"/>
      <c r="Q440" s="125"/>
      <c r="R440" s="127"/>
      <c r="S440" s="125"/>
      <c r="T440" s="127"/>
    </row>
    <row r="441" spans="5:20">
      <c r="E441" s="127"/>
      <c r="F441" s="127"/>
      <c r="G441" s="125"/>
      <c r="H441" s="125"/>
      <c r="I441" s="125"/>
      <c r="J441" s="125"/>
      <c r="K441" s="127"/>
      <c r="L441" s="125"/>
      <c r="M441" s="127"/>
      <c r="N441" s="127"/>
      <c r="O441" s="127"/>
      <c r="P441" s="127"/>
      <c r="Q441" s="125"/>
      <c r="R441" s="127"/>
      <c r="S441" s="125"/>
      <c r="T441" s="127"/>
    </row>
    <row r="442" spans="5:20">
      <c r="E442" s="127"/>
      <c r="F442" s="127"/>
      <c r="G442" s="125"/>
      <c r="H442" s="125"/>
      <c r="I442" s="125"/>
      <c r="J442" s="125"/>
      <c r="K442" s="127"/>
      <c r="L442" s="125"/>
      <c r="M442" s="127"/>
      <c r="N442" s="127"/>
      <c r="O442" s="127"/>
      <c r="P442" s="127"/>
      <c r="Q442" s="125"/>
      <c r="R442" s="127"/>
      <c r="S442" s="125"/>
      <c r="T442" s="127"/>
    </row>
    <row r="443" spans="5:20">
      <c r="E443" s="127"/>
      <c r="F443" s="127"/>
      <c r="G443" s="125"/>
      <c r="H443" s="125"/>
      <c r="I443" s="125"/>
      <c r="J443" s="125"/>
      <c r="K443" s="127"/>
      <c r="L443" s="125"/>
      <c r="M443" s="127"/>
      <c r="N443" s="127"/>
      <c r="O443" s="127"/>
      <c r="P443" s="127"/>
      <c r="Q443" s="125"/>
      <c r="R443" s="127"/>
      <c r="S443" s="125"/>
      <c r="T443" s="127"/>
    </row>
    <row r="444" spans="5:20">
      <c r="E444" s="127"/>
      <c r="F444" s="127"/>
      <c r="G444" s="125"/>
      <c r="H444" s="125"/>
      <c r="I444" s="125"/>
      <c r="J444" s="125"/>
      <c r="K444" s="127"/>
      <c r="L444" s="125"/>
      <c r="M444" s="127"/>
      <c r="N444" s="127"/>
      <c r="O444" s="127"/>
      <c r="P444" s="127"/>
      <c r="Q444" s="125"/>
      <c r="R444" s="127"/>
      <c r="S444" s="125"/>
      <c r="T444" s="127"/>
    </row>
    <row r="445" spans="5:20">
      <c r="E445" s="127"/>
      <c r="F445" s="127"/>
      <c r="G445" s="125"/>
      <c r="H445" s="125"/>
      <c r="I445" s="125"/>
      <c r="J445" s="125"/>
      <c r="K445" s="127"/>
      <c r="L445" s="125"/>
      <c r="M445" s="127"/>
      <c r="N445" s="127"/>
      <c r="O445" s="127"/>
      <c r="P445" s="127"/>
      <c r="Q445" s="125"/>
      <c r="R445" s="127"/>
      <c r="S445" s="125"/>
      <c r="T445" s="127"/>
    </row>
    <row r="446" spans="5:20">
      <c r="E446" s="127"/>
      <c r="F446" s="127"/>
      <c r="G446" s="125"/>
      <c r="H446" s="125"/>
      <c r="I446" s="125"/>
      <c r="J446" s="125"/>
      <c r="K446" s="127"/>
      <c r="L446" s="125"/>
      <c r="M446" s="127"/>
      <c r="N446" s="127"/>
      <c r="O446" s="127"/>
      <c r="P446" s="127"/>
      <c r="Q446" s="125"/>
      <c r="R446" s="127"/>
      <c r="S446" s="125"/>
      <c r="T446" s="127"/>
    </row>
    <row r="447" spans="5:20">
      <c r="E447" s="127"/>
      <c r="F447" s="127"/>
      <c r="G447" s="125"/>
      <c r="H447" s="125"/>
      <c r="I447" s="125"/>
      <c r="J447" s="125"/>
      <c r="K447" s="127"/>
      <c r="L447" s="125"/>
      <c r="M447" s="127"/>
      <c r="N447" s="127"/>
      <c r="O447" s="127"/>
      <c r="P447" s="127"/>
      <c r="Q447" s="125"/>
      <c r="R447" s="127"/>
      <c r="S447" s="125"/>
      <c r="T447" s="127"/>
    </row>
    <row r="448" spans="5:20">
      <c r="E448" s="127"/>
      <c r="F448" s="127"/>
      <c r="G448" s="125"/>
      <c r="H448" s="125"/>
      <c r="I448" s="125"/>
      <c r="J448" s="125"/>
      <c r="K448" s="127"/>
      <c r="L448" s="125"/>
      <c r="M448" s="127"/>
      <c r="N448" s="127"/>
      <c r="O448" s="127"/>
      <c r="P448" s="127"/>
      <c r="Q448" s="125"/>
      <c r="R448" s="127"/>
      <c r="S448" s="125"/>
      <c r="T448" s="127"/>
    </row>
    <row r="449" spans="5:20">
      <c r="E449" s="127"/>
      <c r="F449" s="127"/>
      <c r="G449" s="125"/>
      <c r="H449" s="125"/>
      <c r="I449" s="125"/>
      <c r="J449" s="125"/>
      <c r="K449" s="127"/>
      <c r="L449" s="125"/>
      <c r="M449" s="127"/>
      <c r="N449" s="127"/>
      <c r="O449" s="127"/>
      <c r="P449" s="127"/>
      <c r="Q449" s="125"/>
      <c r="R449" s="127"/>
      <c r="S449" s="125"/>
      <c r="T449" s="127"/>
    </row>
    <row r="450" spans="5:20">
      <c r="E450" s="127"/>
      <c r="F450" s="127"/>
      <c r="G450" s="125"/>
      <c r="H450" s="125"/>
      <c r="I450" s="125"/>
      <c r="J450" s="125"/>
      <c r="K450" s="127"/>
      <c r="L450" s="125"/>
      <c r="M450" s="127"/>
      <c r="N450" s="127"/>
      <c r="O450" s="127"/>
      <c r="P450" s="127"/>
      <c r="Q450" s="125"/>
      <c r="R450" s="127"/>
      <c r="S450" s="125"/>
      <c r="T450" s="127"/>
    </row>
    <row r="451" spans="5:20">
      <c r="E451" s="127"/>
      <c r="F451" s="127"/>
      <c r="G451" s="125"/>
      <c r="H451" s="125"/>
      <c r="I451" s="125"/>
      <c r="J451" s="125"/>
      <c r="K451" s="127"/>
      <c r="L451" s="125"/>
      <c r="M451" s="127"/>
      <c r="N451" s="127"/>
      <c r="O451" s="127"/>
      <c r="P451" s="127"/>
      <c r="Q451" s="125"/>
      <c r="R451" s="127"/>
      <c r="S451" s="125"/>
      <c r="T451" s="127"/>
    </row>
    <row r="452" spans="5:20">
      <c r="E452" s="127"/>
      <c r="F452" s="127"/>
      <c r="G452" s="125"/>
      <c r="H452" s="125"/>
      <c r="I452" s="125"/>
      <c r="J452" s="125"/>
      <c r="K452" s="127"/>
      <c r="L452" s="125"/>
      <c r="M452" s="127"/>
      <c r="N452" s="127"/>
      <c r="O452" s="127"/>
      <c r="P452" s="127"/>
      <c r="Q452" s="125"/>
      <c r="R452" s="127"/>
      <c r="S452" s="125"/>
      <c r="T452" s="127"/>
    </row>
    <row r="453" spans="5:20">
      <c r="E453" s="127"/>
      <c r="F453" s="127"/>
      <c r="G453" s="125"/>
      <c r="H453" s="125"/>
      <c r="I453" s="125"/>
      <c r="J453" s="125"/>
      <c r="K453" s="127"/>
      <c r="L453" s="125"/>
      <c r="M453" s="127"/>
      <c r="N453" s="127"/>
      <c r="O453" s="127"/>
      <c r="P453" s="127"/>
      <c r="Q453" s="125"/>
      <c r="R453" s="127"/>
      <c r="S453" s="125"/>
      <c r="T453" s="127"/>
    </row>
    <row r="454" spans="5:20">
      <c r="E454" s="127"/>
      <c r="F454" s="127"/>
      <c r="G454" s="125"/>
      <c r="H454" s="125"/>
      <c r="I454" s="125"/>
      <c r="J454" s="125"/>
      <c r="K454" s="127"/>
      <c r="L454" s="125"/>
      <c r="M454" s="127"/>
      <c r="N454" s="127"/>
      <c r="O454" s="127"/>
      <c r="P454" s="127"/>
      <c r="Q454" s="125"/>
      <c r="R454" s="127"/>
      <c r="S454" s="125"/>
      <c r="T454" s="127"/>
    </row>
    <row r="455" spans="5:20">
      <c r="E455" s="127"/>
      <c r="F455" s="127"/>
      <c r="G455" s="125"/>
      <c r="H455" s="125"/>
      <c r="I455" s="125"/>
      <c r="J455" s="125"/>
      <c r="K455" s="127"/>
      <c r="L455" s="125"/>
      <c r="M455" s="127"/>
      <c r="N455" s="127"/>
      <c r="O455" s="127"/>
      <c r="P455" s="127"/>
      <c r="Q455" s="125"/>
      <c r="R455" s="127"/>
      <c r="S455" s="125"/>
      <c r="T455" s="127"/>
    </row>
    <row r="456" spans="5:20">
      <c r="E456" s="127"/>
      <c r="F456" s="127"/>
      <c r="G456" s="125"/>
      <c r="H456" s="125"/>
      <c r="I456" s="125"/>
      <c r="J456" s="125"/>
      <c r="K456" s="127"/>
      <c r="L456" s="125"/>
      <c r="M456" s="127"/>
      <c r="N456" s="127"/>
      <c r="O456" s="127"/>
      <c r="P456" s="127"/>
      <c r="Q456" s="125"/>
      <c r="R456" s="127"/>
      <c r="S456" s="125"/>
      <c r="T456" s="127"/>
    </row>
    <row r="457" spans="5:20">
      <c r="E457" s="127"/>
      <c r="F457" s="127"/>
      <c r="G457" s="125"/>
      <c r="H457" s="125"/>
      <c r="I457" s="125"/>
      <c r="J457" s="125"/>
      <c r="K457" s="127"/>
      <c r="L457" s="125"/>
      <c r="M457" s="127"/>
      <c r="N457" s="127"/>
      <c r="O457" s="127"/>
      <c r="P457" s="127"/>
      <c r="Q457" s="125"/>
      <c r="R457" s="127"/>
      <c r="S457" s="125"/>
      <c r="T457" s="127"/>
    </row>
    <row r="458" spans="5:20">
      <c r="E458" s="127"/>
      <c r="F458" s="127"/>
      <c r="G458" s="125"/>
      <c r="H458" s="125"/>
      <c r="I458" s="125"/>
      <c r="J458" s="125"/>
      <c r="K458" s="127"/>
      <c r="L458" s="125"/>
      <c r="M458" s="127"/>
      <c r="N458" s="127"/>
      <c r="O458" s="127"/>
      <c r="P458" s="127"/>
      <c r="Q458" s="125"/>
      <c r="R458" s="127"/>
      <c r="S458" s="125"/>
      <c r="T458" s="127"/>
    </row>
  </sheetData>
  <mergeCells count="2">
    <mergeCell ref="D4:T4"/>
    <mergeCell ref="S1:U1"/>
  </mergeCells>
  <pageMargins left="0.31496062992125984" right="0" top="0.55118110236220474" bottom="0.35433070866141736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86"/>
  <sheetViews>
    <sheetView workbookViewId="0">
      <selection activeCell="T53" sqref="T53"/>
    </sheetView>
  </sheetViews>
  <sheetFormatPr defaultRowHeight="12"/>
  <cols>
    <col min="1" max="1" width="3.5703125" style="1" customWidth="1"/>
    <col min="2" max="2" width="31.85546875" style="1" customWidth="1"/>
    <col min="3" max="4" width="8" style="1" hidden="1" customWidth="1"/>
    <col min="5" max="5" width="7.42578125" style="1" customWidth="1"/>
    <col min="6" max="6" width="9.28515625" style="1" hidden="1" customWidth="1"/>
    <col min="7" max="8" width="9.28515625" style="1" customWidth="1"/>
    <col min="9" max="10" width="7.140625" style="1" customWidth="1"/>
    <col min="11" max="11" width="9.85546875" style="1" customWidth="1"/>
    <col min="12" max="12" width="10.42578125" style="1" customWidth="1"/>
    <col min="13" max="13" width="10.28515625" style="1" customWidth="1"/>
    <col min="14" max="14" width="7.140625" style="1" hidden="1" customWidth="1"/>
    <col min="15" max="15" width="6.42578125" style="1" hidden="1" customWidth="1"/>
    <col min="16" max="16" width="0" style="1" hidden="1" customWidth="1"/>
    <col min="17" max="17" width="7.140625" style="1" customWidth="1"/>
    <col min="18" max="18" width="8.42578125" style="1" customWidth="1"/>
    <col min="19" max="256" width="9.140625" style="1"/>
    <col min="257" max="257" width="3.5703125" style="1" customWidth="1"/>
    <col min="258" max="258" width="31.85546875" style="1" customWidth="1"/>
    <col min="259" max="260" width="0" style="1" hidden="1" customWidth="1"/>
    <col min="261" max="261" width="7.42578125" style="1" customWidth="1"/>
    <col min="262" max="262" width="0" style="1" hidden="1" customWidth="1"/>
    <col min="263" max="264" width="9.28515625" style="1" customWidth="1"/>
    <col min="265" max="266" width="7.140625" style="1" customWidth="1"/>
    <col min="267" max="267" width="9.85546875" style="1" customWidth="1"/>
    <col min="268" max="268" width="10.42578125" style="1" customWidth="1"/>
    <col min="269" max="269" width="10.28515625" style="1" customWidth="1"/>
    <col min="270" max="272" width="0" style="1" hidden="1" customWidth="1"/>
    <col min="273" max="273" width="7.140625" style="1" customWidth="1"/>
    <col min="274" max="274" width="8.42578125" style="1" customWidth="1"/>
    <col min="275" max="512" width="9.140625" style="1"/>
    <col min="513" max="513" width="3.5703125" style="1" customWidth="1"/>
    <col min="514" max="514" width="31.85546875" style="1" customWidth="1"/>
    <col min="515" max="516" width="0" style="1" hidden="1" customWidth="1"/>
    <col min="517" max="517" width="7.42578125" style="1" customWidth="1"/>
    <col min="518" max="518" width="0" style="1" hidden="1" customWidth="1"/>
    <col min="519" max="520" width="9.28515625" style="1" customWidth="1"/>
    <col min="521" max="522" width="7.140625" style="1" customWidth="1"/>
    <col min="523" max="523" width="9.85546875" style="1" customWidth="1"/>
    <col min="524" max="524" width="10.42578125" style="1" customWidth="1"/>
    <col min="525" max="525" width="10.28515625" style="1" customWidth="1"/>
    <col min="526" max="528" width="0" style="1" hidden="1" customWidth="1"/>
    <col min="529" max="529" width="7.140625" style="1" customWidth="1"/>
    <col min="530" max="530" width="8.42578125" style="1" customWidth="1"/>
    <col min="531" max="768" width="9.140625" style="1"/>
    <col min="769" max="769" width="3.5703125" style="1" customWidth="1"/>
    <col min="770" max="770" width="31.85546875" style="1" customWidth="1"/>
    <col min="771" max="772" width="0" style="1" hidden="1" customWidth="1"/>
    <col min="773" max="773" width="7.42578125" style="1" customWidth="1"/>
    <col min="774" max="774" width="0" style="1" hidden="1" customWidth="1"/>
    <col min="775" max="776" width="9.28515625" style="1" customWidth="1"/>
    <col min="777" max="778" width="7.140625" style="1" customWidth="1"/>
    <col min="779" max="779" width="9.85546875" style="1" customWidth="1"/>
    <col min="780" max="780" width="10.42578125" style="1" customWidth="1"/>
    <col min="781" max="781" width="10.28515625" style="1" customWidth="1"/>
    <col min="782" max="784" width="0" style="1" hidden="1" customWidth="1"/>
    <col min="785" max="785" width="7.140625" style="1" customWidth="1"/>
    <col min="786" max="786" width="8.42578125" style="1" customWidth="1"/>
    <col min="787" max="1024" width="9.140625" style="1"/>
    <col min="1025" max="1025" width="3.5703125" style="1" customWidth="1"/>
    <col min="1026" max="1026" width="31.85546875" style="1" customWidth="1"/>
    <col min="1027" max="1028" width="0" style="1" hidden="1" customWidth="1"/>
    <col min="1029" max="1029" width="7.42578125" style="1" customWidth="1"/>
    <col min="1030" max="1030" width="0" style="1" hidden="1" customWidth="1"/>
    <col min="1031" max="1032" width="9.28515625" style="1" customWidth="1"/>
    <col min="1033" max="1034" width="7.140625" style="1" customWidth="1"/>
    <col min="1035" max="1035" width="9.85546875" style="1" customWidth="1"/>
    <col min="1036" max="1036" width="10.42578125" style="1" customWidth="1"/>
    <col min="1037" max="1037" width="10.28515625" style="1" customWidth="1"/>
    <col min="1038" max="1040" width="0" style="1" hidden="1" customWidth="1"/>
    <col min="1041" max="1041" width="7.140625" style="1" customWidth="1"/>
    <col min="1042" max="1042" width="8.42578125" style="1" customWidth="1"/>
    <col min="1043" max="1280" width="9.140625" style="1"/>
    <col min="1281" max="1281" width="3.5703125" style="1" customWidth="1"/>
    <col min="1282" max="1282" width="31.85546875" style="1" customWidth="1"/>
    <col min="1283" max="1284" width="0" style="1" hidden="1" customWidth="1"/>
    <col min="1285" max="1285" width="7.42578125" style="1" customWidth="1"/>
    <col min="1286" max="1286" width="0" style="1" hidden="1" customWidth="1"/>
    <col min="1287" max="1288" width="9.28515625" style="1" customWidth="1"/>
    <col min="1289" max="1290" width="7.140625" style="1" customWidth="1"/>
    <col min="1291" max="1291" width="9.85546875" style="1" customWidth="1"/>
    <col min="1292" max="1292" width="10.42578125" style="1" customWidth="1"/>
    <col min="1293" max="1293" width="10.28515625" style="1" customWidth="1"/>
    <col min="1294" max="1296" width="0" style="1" hidden="1" customWidth="1"/>
    <col min="1297" max="1297" width="7.140625" style="1" customWidth="1"/>
    <col min="1298" max="1298" width="8.42578125" style="1" customWidth="1"/>
    <col min="1299" max="1536" width="9.140625" style="1"/>
    <col min="1537" max="1537" width="3.5703125" style="1" customWidth="1"/>
    <col min="1538" max="1538" width="31.85546875" style="1" customWidth="1"/>
    <col min="1539" max="1540" width="0" style="1" hidden="1" customWidth="1"/>
    <col min="1541" max="1541" width="7.42578125" style="1" customWidth="1"/>
    <col min="1542" max="1542" width="0" style="1" hidden="1" customWidth="1"/>
    <col min="1543" max="1544" width="9.28515625" style="1" customWidth="1"/>
    <col min="1545" max="1546" width="7.140625" style="1" customWidth="1"/>
    <col min="1547" max="1547" width="9.85546875" style="1" customWidth="1"/>
    <col min="1548" max="1548" width="10.42578125" style="1" customWidth="1"/>
    <col min="1549" max="1549" width="10.28515625" style="1" customWidth="1"/>
    <col min="1550" max="1552" width="0" style="1" hidden="1" customWidth="1"/>
    <col min="1553" max="1553" width="7.140625" style="1" customWidth="1"/>
    <col min="1554" max="1554" width="8.42578125" style="1" customWidth="1"/>
    <col min="1555" max="1792" width="9.140625" style="1"/>
    <col min="1793" max="1793" width="3.5703125" style="1" customWidth="1"/>
    <col min="1794" max="1794" width="31.85546875" style="1" customWidth="1"/>
    <col min="1795" max="1796" width="0" style="1" hidden="1" customWidth="1"/>
    <col min="1797" max="1797" width="7.42578125" style="1" customWidth="1"/>
    <col min="1798" max="1798" width="0" style="1" hidden="1" customWidth="1"/>
    <col min="1799" max="1800" width="9.28515625" style="1" customWidth="1"/>
    <col min="1801" max="1802" width="7.140625" style="1" customWidth="1"/>
    <col min="1803" max="1803" width="9.85546875" style="1" customWidth="1"/>
    <col min="1804" max="1804" width="10.42578125" style="1" customWidth="1"/>
    <col min="1805" max="1805" width="10.28515625" style="1" customWidth="1"/>
    <col min="1806" max="1808" width="0" style="1" hidden="1" customWidth="1"/>
    <col min="1809" max="1809" width="7.140625" style="1" customWidth="1"/>
    <col min="1810" max="1810" width="8.42578125" style="1" customWidth="1"/>
    <col min="1811" max="2048" width="9.140625" style="1"/>
    <col min="2049" max="2049" width="3.5703125" style="1" customWidth="1"/>
    <col min="2050" max="2050" width="31.85546875" style="1" customWidth="1"/>
    <col min="2051" max="2052" width="0" style="1" hidden="1" customWidth="1"/>
    <col min="2053" max="2053" width="7.42578125" style="1" customWidth="1"/>
    <col min="2054" max="2054" width="0" style="1" hidden="1" customWidth="1"/>
    <col min="2055" max="2056" width="9.28515625" style="1" customWidth="1"/>
    <col min="2057" max="2058" width="7.140625" style="1" customWidth="1"/>
    <col min="2059" max="2059" width="9.85546875" style="1" customWidth="1"/>
    <col min="2060" max="2060" width="10.42578125" style="1" customWidth="1"/>
    <col min="2061" max="2061" width="10.28515625" style="1" customWidth="1"/>
    <col min="2062" max="2064" width="0" style="1" hidden="1" customWidth="1"/>
    <col min="2065" max="2065" width="7.140625" style="1" customWidth="1"/>
    <col min="2066" max="2066" width="8.42578125" style="1" customWidth="1"/>
    <col min="2067" max="2304" width="9.140625" style="1"/>
    <col min="2305" max="2305" width="3.5703125" style="1" customWidth="1"/>
    <col min="2306" max="2306" width="31.85546875" style="1" customWidth="1"/>
    <col min="2307" max="2308" width="0" style="1" hidden="1" customWidth="1"/>
    <col min="2309" max="2309" width="7.42578125" style="1" customWidth="1"/>
    <col min="2310" max="2310" width="0" style="1" hidden="1" customWidth="1"/>
    <col min="2311" max="2312" width="9.28515625" style="1" customWidth="1"/>
    <col min="2313" max="2314" width="7.140625" style="1" customWidth="1"/>
    <col min="2315" max="2315" width="9.85546875" style="1" customWidth="1"/>
    <col min="2316" max="2316" width="10.42578125" style="1" customWidth="1"/>
    <col min="2317" max="2317" width="10.28515625" style="1" customWidth="1"/>
    <col min="2318" max="2320" width="0" style="1" hidden="1" customWidth="1"/>
    <col min="2321" max="2321" width="7.140625" style="1" customWidth="1"/>
    <col min="2322" max="2322" width="8.42578125" style="1" customWidth="1"/>
    <col min="2323" max="2560" width="9.140625" style="1"/>
    <col min="2561" max="2561" width="3.5703125" style="1" customWidth="1"/>
    <col min="2562" max="2562" width="31.85546875" style="1" customWidth="1"/>
    <col min="2563" max="2564" width="0" style="1" hidden="1" customWidth="1"/>
    <col min="2565" max="2565" width="7.42578125" style="1" customWidth="1"/>
    <col min="2566" max="2566" width="0" style="1" hidden="1" customWidth="1"/>
    <col min="2567" max="2568" width="9.28515625" style="1" customWidth="1"/>
    <col min="2569" max="2570" width="7.140625" style="1" customWidth="1"/>
    <col min="2571" max="2571" width="9.85546875" style="1" customWidth="1"/>
    <col min="2572" max="2572" width="10.42578125" style="1" customWidth="1"/>
    <col min="2573" max="2573" width="10.28515625" style="1" customWidth="1"/>
    <col min="2574" max="2576" width="0" style="1" hidden="1" customWidth="1"/>
    <col min="2577" max="2577" width="7.140625" style="1" customWidth="1"/>
    <col min="2578" max="2578" width="8.42578125" style="1" customWidth="1"/>
    <col min="2579" max="2816" width="9.140625" style="1"/>
    <col min="2817" max="2817" width="3.5703125" style="1" customWidth="1"/>
    <col min="2818" max="2818" width="31.85546875" style="1" customWidth="1"/>
    <col min="2819" max="2820" width="0" style="1" hidden="1" customWidth="1"/>
    <col min="2821" max="2821" width="7.42578125" style="1" customWidth="1"/>
    <col min="2822" max="2822" width="0" style="1" hidden="1" customWidth="1"/>
    <col min="2823" max="2824" width="9.28515625" style="1" customWidth="1"/>
    <col min="2825" max="2826" width="7.140625" style="1" customWidth="1"/>
    <col min="2827" max="2827" width="9.85546875" style="1" customWidth="1"/>
    <col min="2828" max="2828" width="10.42578125" style="1" customWidth="1"/>
    <col min="2829" max="2829" width="10.28515625" style="1" customWidth="1"/>
    <col min="2830" max="2832" width="0" style="1" hidden="1" customWidth="1"/>
    <col min="2833" max="2833" width="7.140625" style="1" customWidth="1"/>
    <col min="2834" max="2834" width="8.42578125" style="1" customWidth="1"/>
    <col min="2835" max="3072" width="9.140625" style="1"/>
    <col min="3073" max="3073" width="3.5703125" style="1" customWidth="1"/>
    <col min="3074" max="3074" width="31.85546875" style="1" customWidth="1"/>
    <col min="3075" max="3076" width="0" style="1" hidden="1" customWidth="1"/>
    <col min="3077" max="3077" width="7.42578125" style="1" customWidth="1"/>
    <col min="3078" max="3078" width="0" style="1" hidden="1" customWidth="1"/>
    <col min="3079" max="3080" width="9.28515625" style="1" customWidth="1"/>
    <col min="3081" max="3082" width="7.140625" style="1" customWidth="1"/>
    <col min="3083" max="3083" width="9.85546875" style="1" customWidth="1"/>
    <col min="3084" max="3084" width="10.42578125" style="1" customWidth="1"/>
    <col min="3085" max="3085" width="10.28515625" style="1" customWidth="1"/>
    <col min="3086" max="3088" width="0" style="1" hidden="1" customWidth="1"/>
    <col min="3089" max="3089" width="7.140625" style="1" customWidth="1"/>
    <col min="3090" max="3090" width="8.42578125" style="1" customWidth="1"/>
    <col min="3091" max="3328" width="9.140625" style="1"/>
    <col min="3329" max="3329" width="3.5703125" style="1" customWidth="1"/>
    <col min="3330" max="3330" width="31.85546875" style="1" customWidth="1"/>
    <col min="3331" max="3332" width="0" style="1" hidden="1" customWidth="1"/>
    <col min="3333" max="3333" width="7.42578125" style="1" customWidth="1"/>
    <col min="3334" max="3334" width="0" style="1" hidden="1" customWidth="1"/>
    <col min="3335" max="3336" width="9.28515625" style="1" customWidth="1"/>
    <col min="3337" max="3338" width="7.140625" style="1" customWidth="1"/>
    <col min="3339" max="3339" width="9.85546875" style="1" customWidth="1"/>
    <col min="3340" max="3340" width="10.42578125" style="1" customWidth="1"/>
    <col min="3341" max="3341" width="10.28515625" style="1" customWidth="1"/>
    <col min="3342" max="3344" width="0" style="1" hidden="1" customWidth="1"/>
    <col min="3345" max="3345" width="7.140625" style="1" customWidth="1"/>
    <col min="3346" max="3346" width="8.42578125" style="1" customWidth="1"/>
    <col min="3347" max="3584" width="9.140625" style="1"/>
    <col min="3585" max="3585" width="3.5703125" style="1" customWidth="1"/>
    <col min="3586" max="3586" width="31.85546875" style="1" customWidth="1"/>
    <col min="3587" max="3588" width="0" style="1" hidden="1" customWidth="1"/>
    <col min="3589" max="3589" width="7.42578125" style="1" customWidth="1"/>
    <col min="3590" max="3590" width="0" style="1" hidden="1" customWidth="1"/>
    <col min="3591" max="3592" width="9.28515625" style="1" customWidth="1"/>
    <col min="3593" max="3594" width="7.140625" style="1" customWidth="1"/>
    <col min="3595" max="3595" width="9.85546875" style="1" customWidth="1"/>
    <col min="3596" max="3596" width="10.42578125" style="1" customWidth="1"/>
    <col min="3597" max="3597" width="10.28515625" style="1" customWidth="1"/>
    <col min="3598" max="3600" width="0" style="1" hidden="1" customWidth="1"/>
    <col min="3601" max="3601" width="7.140625" style="1" customWidth="1"/>
    <col min="3602" max="3602" width="8.42578125" style="1" customWidth="1"/>
    <col min="3603" max="3840" width="9.140625" style="1"/>
    <col min="3841" max="3841" width="3.5703125" style="1" customWidth="1"/>
    <col min="3842" max="3842" width="31.85546875" style="1" customWidth="1"/>
    <col min="3843" max="3844" width="0" style="1" hidden="1" customWidth="1"/>
    <col min="3845" max="3845" width="7.42578125" style="1" customWidth="1"/>
    <col min="3846" max="3846" width="0" style="1" hidden="1" customWidth="1"/>
    <col min="3847" max="3848" width="9.28515625" style="1" customWidth="1"/>
    <col min="3849" max="3850" width="7.140625" style="1" customWidth="1"/>
    <col min="3851" max="3851" width="9.85546875" style="1" customWidth="1"/>
    <col min="3852" max="3852" width="10.42578125" style="1" customWidth="1"/>
    <col min="3853" max="3853" width="10.28515625" style="1" customWidth="1"/>
    <col min="3854" max="3856" width="0" style="1" hidden="1" customWidth="1"/>
    <col min="3857" max="3857" width="7.140625" style="1" customWidth="1"/>
    <col min="3858" max="3858" width="8.42578125" style="1" customWidth="1"/>
    <col min="3859" max="4096" width="9.140625" style="1"/>
    <col min="4097" max="4097" width="3.5703125" style="1" customWidth="1"/>
    <col min="4098" max="4098" width="31.85546875" style="1" customWidth="1"/>
    <col min="4099" max="4100" width="0" style="1" hidden="1" customWidth="1"/>
    <col min="4101" max="4101" width="7.42578125" style="1" customWidth="1"/>
    <col min="4102" max="4102" width="0" style="1" hidden="1" customWidth="1"/>
    <col min="4103" max="4104" width="9.28515625" style="1" customWidth="1"/>
    <col min="4105" max="4106" width="7.140625" style="1" customWidth="1"/>
    <col min="4107" max="4107" width="9.85546875" style="1" customWidth="1"/>
    <col min="4108" max="4108" width="10.42578125" style="1" customWidth="1"/>
    <col min="4109" max="4109" width="10.28515625" style="1" customWidth="1"/>
    <col min="4110" max="4112" width="0" style="1" hidden="1" customWidth="1"/>
    <col min="4113" max="4113" width="7.140625" style="1" customWidth="1"/>
    <col min="4114" max="4114" width="8.42578125" style="1" customWidth="1"/>
    <col min="4115" max="4352" width="9.140625" style="1"/>
    <col min="4353" max="4353" width="3.5703125" style="1" customWidth="1"/>
    <col min="4354" max="4354" width="31.85546875" style="1" customWidth="1"/>
    <col min="4355" max="4356" width="0" style="1" hidden="1" customWidth="1"/>
    <col min="4357" max="4357" width="7.42578125" style="1" customWidth="1"/>
    <col min="4358" max="4358" width="0" style="1" hidden="1" customWidth="1"/>
    <col min="4359" max="4360" width="9.28515625" style="1" customWidth="1"/>
    <col min="4361" max="4362" width="7.140625" style="1" customWidth="1"/>
    <col min="4363" max="4363" width="9.85546875" style="1" customWidth="1"/>
    <col min="4364" max="4364" width="10.42578125" style="1" customWidth="1"/>
    <col min="4365" max="4365" width="10.28515625" style="1" customWidth="1"/>
    <col min="4366" max="4368" width="0" style="1" hidden="1" customWidth="1"/>
    <col min="4369" max="4369" width="7.140625" style="1" customWidth="1"/>
    <col min="4370" max="4370" width="8.42578125" style="1" customWidth="1"/>
    <col min="4371" max="4608" width="9.140625" style="1"/>
    <col min="4609" max="4609" width="3.5703125" style="1" customWidth="1"/>
    <col min="4610" max="4610" width="31.85546875" style="1" customWidth="1"/>
    <col min="4611" max="4612" width="0" style="1" hidden="1" customWidth="1"/>
    <col min="4613" max="4613" width="7.42578125" style="1" customWidth="1"/>
    <col min="4614" max="4614" width="0" style="1" hidden="1" customWidth="1"/>
    <col min="4615" max="4616" width="9.28515625" style="1" customWidth="1"/>
    <col min="4617" max="4618" width="7.140625" style="1" customWidth="1"/>
    <col min="4619" max="4619" width="9.85546875" style="1" customWidth="1"/>
    <col min="4620" max="4620" width="10.42578125" style="1" customWidth="1"/>
    <col min="4621" max="4621" width="10.28515625" style="1" customWidth="1"/>
    <col min="4622" max="4624" width="0" style="1" hidden="1" customWidth="1"/>
    <col min="4625" max="4625" width="7.140625" style="1" customWidth="1"/>
    <col min="4626" max="4626" width="8.42578125" style="1" customWidth="1"/>
    <col min="4627" max="4864" width="9.140625" style="1"/>
    <col min="4865" max="4865" width="3.5703125" style="1" customWidth="1"/>
    <col min="4866" max="4866" width="31.85546875" style="1" customWidth="1"/>
    <col min="4867" max="4868" width="0" style="1" hidden="1" customWidth="1"/>
    <col min="4869" max="4869" width="7.42578125" style="1" customWidth="1"/>
    <col min="4870" max="4870" width="0" style="1" hidden="1" customWidth="1"/>
    <col min="4871" max="4872" width="9.28515625" style="1" customWidth="1"/>
    <col min="4873" max="4874" width="7.140625" style="1" customWidth="1"/>
    <col min="4875" max="4875" width="9.85546875" style="1" customWidth="1"/>
    <col min="4876" max="4876" width="10.42578125" style="1" customWidth="1"/>
    <col min="4877" max="4877" width="10.28515625" style="1" customWidth="1"/>
    <col min="4878" max="4880" width="0" style="1" hidden="1" customWidth="1"/>
    <col min="4881" max="4881" width="7.140625" style="1" customWidth="1"/>
    <col min="4882" max="4882" width="8.42578125" style="1" customWidth="1"/>
    <col min="4883" max="5120" width="9.140625" style="1"/>
    <col min="5121" max="5121" width="3.5703125" style="1" customWidth="1"/>
    <col min="5122" max="5122" width="31.85546875" style="1" customWidth="1"/>
    <col min="5123" max="5124" width="0" style="1" hidden="1" customWidth="1"/>
    <col min="5125" max="5125" width="7.42578125" style="1" customWidth="1"/>
    <col min="5126" max="5126" width="0" style="1" hidden="1" customWidth="1"/>
    <col min="5127" max="5128" width="9.28515625" style="1" customWidth="1"/>
    <col min="5129" max="5130" width="7.140625" style="1" customWidth="1"/>
    <col min="5131" max="5131" width="9.85546875" style="1" customWidth="1"/>
    <col min="5132" max="5132" width="10.42578125" style="1" customWidth="1"/>
    <col min="5133" max="5133" width="10.28515625" style="1" customWidth="1"/>
    <col min="5134" max="5136" width="0" style="1" hidden="1" customWidth="1"/>
    <col min="5137" max="5137" width="7.140625" style="1" customWidth="1"/>
    <col min="5138" max="5138" width="8.42578125" style="1" customWidth="1"/>
    <col min="5139" max="5376" width="9.140625" style="1"/>
    <col min="5377" max="5377" width="3.5703125" style="1" customWidth="1"/>
    <col min="5378" max="5378" width="31.85546875" style="1" customWidth="1"/>
    <col min="5379" max="5380" width="0" style="1" hidden="1" customWidth="1"/>
    <col min="5381" max="5381" width="7.42578125" style="1" customWidth="1"/>
    <col min="5382" max="5382" width="0" style="1" hidden="1" customWidth="1"/>
    <col min="5383" max="5384" width="9.28515625" style="1" customWidth="1"/>
    <col min="5385" max="5386" width="7.140625" style="1" customWidth="1"/>
    <col min="5387" max="5387" width="9.85546875" style="1" customWidth="1"/>
    <col min="5388" max="5388" width="10.42578125" style="1" customWidth="1"/>
    <col min="5389" max="5389" width="10.28515625" style="1" customWidth="1"/>
    <col min="5390" max="5392" width="0" style="1" hidden="1" customWidth="1"/>
    <col min="5393" max="5393" width="7.140625" style="1" customWidth="1"/>
    <col min="5394" max="5394" width="8.42578125" style="1" customWidth="1"/>
    <col min="5395" max="5632" width="9.140625" style="1"/>
    <col min="5633" max="5633" width="3.5703125" style="1" customWidth="1"/>
    <col min="5634" max="5634" width="31.85546875" style="1" customWidth="1"/>
    <col min="5635" max="5636" width="0" style="1" hidden="1" customWidth="1"/>
    <col min="5637" max="5637" width="7.42578125" style="1" customWidth="1"/>
    <col min="5638" max="5638" width="0" style="1" hidden="1" customWidth="1"/>
    <col min="5639" max="5640" width="9.28515625" style="1" customWidth="1"/>
    <col min="5641" max="5642" width="7.140625" style="1" customWidth="1"/>
    <col min="5643" max="5643" width="9.85546875" style="1" customWidth="1"/>
    <col min="5644" max="5644" width="10.42578125" style="1" customWidth="1"/>
    <col min="5645" max="5645" width="10.28515625" style="1" customWidth="1"/>
    <col min="5646" max="5648" width="0" style="1" hidden="1" customWidth="1"/>
    <col min="5649" max="5649" width="7.140625" style="1" customWidth="1"/>
    <col min="5650" max="5650" width="8.42578125" style="1" customWidth="1"/>
    <col min="5651" max="5888" width="9.140625" style="1"/>
    <col min="5889" max="5889" width="3.5703125" style="1" customWidth="1"/>
    <col min="5890" max="5890" width="31.85546875" style="1" customWidth="1"/>
    <col min="5891" max="5892" width="0" style="1" hidden="1" customWidth="1"/>
    <col min="5893" max="5893" width="7.42578125" style="1" customWidth="1"/>
    <col min="5894" max="5894" width="0" style="1" hidden="1" customWidth="1"/>
    <col min="5895" max="5896" width="9.28515625" style="1" customWidth="1"/>
    <col min="5897" max="5898" width="7.140625" style="1" customWidth="1"/>
    <col min="5899" max="5899" width="9.85546875" style="1" customWidth="1"/>
    <col min="5900" max="5900" width="10.42578125" style="1" customWidth="1"/>
    <col min="5901" max="5901" width="10.28515625" style="1" customWidth="1"/>
    <col min="5902" max="5904" width="0" style="1" hidden="1" customWidth="1"/>
    <col min="5905" max="5905" width="7.140625" style="1" customWidth="1"/>
    <col min="5906" max="5906" width="8.42578125" style="1" customWidth="1"/>
    <col min="5907" max="6144" width="9.140625" style="1"/>
    <col min="6145" max="6145" width="3.5703125" style="1" customWidth="1"/>
    <col min="6146" max="6146" width="31.85546875" style="1" customWidth="1"/>
    <col min="6147" max="6148" width="0" style="1" hidden="1" customWidth="1"/>
    <col min="6149" max="6149" width="7.42578125" style="1" customWidth="1"/>
    <col min="6150" max="6150" width="0" style="1" hidden="1" customWidth="1"/>
    <col min="6151" max="6152" width="9.28515625" style="1" customWidth="1"/>
    <col min="6153" max="6154" width="7.140625" style="1" customWidth="1"/>
    <col min="6155" max="6155" width="9.85546875" style="1" customWidth="1"/>
    <col min="6156" max="6156" width="10.42578125" style="1" customWidth="1"/>
    <col min="6157" max="6157" width="10.28515625" style="1" customWidth="1"/>
    <col min="6158" max="6160" width="0" style="1" hidden="1" customWidth="1"/>
    <col min="6161" max="6161" width="7.140625" style="1" customWidth="1"/>
    <col min="6162" max="6162" width="8.42578125" style="1" customWidth="1"/>
    <col min="6163" max="6400" width="9.140625" style="1"/>
    <col min="6401" max="6401" width="3.5703125" style="1" customWidth="1"/>
    <col min="6402" max="6402" width="31.85546875" style="1" customWidth="1"/>
    <col min="6403" max="6404" width="0" style="1" hidden="1" customWidth="1"/>
    <col min="6405" max="6405" width="7.42578125" style="1" customWidth="1"/>
    <col min="6406" max="6406" width="0" style="1" hidden="1" customWidth="1"/>
    <col min="6407" max="6408" width="9.28515625" style="1" customWidth="1"/>
    <col min="6409" max="6410" width="7.140625" style="1" customWidth="1"/>
    <col min="6411" max="6411" width="9.85546875" style="1" customWidth="1"/>
    <col min="6412" max="6412" width="10.42578125" style="1" customWidth="1"/>
    <col min="6413" max="6413" width="10.28515625" style="1" customWidth="1"/>
    <col min="6414" max="6416" width="0" style="1" hidden="1" customWidth="1"/>
    <col min="6417" max="6417" width="7.140625" style="1" customWidth="1"/>
    <col min="6418" max="6418" width="8.42578125" style="1" customWidth="1"/>
    <col min="6419" max="6656" width="9.140625" style="1"/>
    <col min="6657" max="6657" width="3.5703125" style="1" customWidth="1"/>
    <col min="6658" max="6658" width="31.85546875" style="1" customWidth="1"/>
    <col min="6659" max="6660" width="0" style="1" hidden="1" customWidth="1"/>
    <col min="6661" max="6661" width="7.42578125" style="1" customWidth="1"/>
    <col min="6662" max="6662" width="0" style="1" hidden="1" customWidth="1"/>
    <col min="6663" max="6664" width="9.28515625" style="1" customWidth="1"/>
    <col min="6665" max="6666" width="7.140625" style="1" customWidth="1"/>
    <col min="6667" max="6667" width="9.85546875" style="1" customWidth="1"/>
    <col min="6668" max="6668" width="10.42578125" style="1" customWidth="1"/>
    <col min="6669" max="6669" width="10.28515625" style="1" customWidth="1"/>
    <col min="6670" max="6672" width="0" style="1" hidden="1" customWidth="1"/>
    <col min="6673" max="6673" width="7.140625" style="1" customWidth="1"/>
    <col min="6674" max="6674" width="8.42578125" style="1" customWidth="1"/>
    <col min="6675" max="6912" width="9.140625" style="1"/>
    <col min="6913" max="6913" width="3.5703125" style="1" customWidth="1"/>
    <col min="6914" max="6914" width="31.85546875" style="1" customWidth="1"/>
    <col min="6915" max="6916" width="0" style="1" hidden="1" customWidth="1"/>
    <col min="6917" max="6917" width="7.42578125" style="1" customWidth="1"/>
    <col min="6918" max="6918" width="0" style="1" hidden="1" customWidth="1"/>
    <col min="6919" max="6920" width="9.28515625" style="1" customWidth="1"/>
    <col min="6921" max="6922" width="7.140625" style="1" customWidth="1"/>
    <col min="6923" max="6923" width="9.85546875" style="1" customWidth="1"/>
    <col min="6924" max="6924" width="10.42578125" style="1" customWidth="1"/>
    <col min="6925" max="6925" width="10.28515625" style="1" customWidth="1"/>
    <col min="6926" max="6928" width="0" style="1" hidden="1" customWidth="1"/>
    <col min="6929" max="6929" width="7.140625" style="1" customWidth="1"/>
    <col min="6930" max="6930" width="8.42578125" style="1" customWidth="1"/>
    <col min="6931" max="7168" width="9.140625" style="1"/>
    <col min="7169" max="7169" width="3.5703125" style="1" customWidth="1"/>
    <col min="7170" max="7170" width="31.85546875" style="1" customWidth="1"/>
    <col min="7171" max="7172" width="0" style="1" hidden="1" customWidth="1"/>
    <col min="7173" max="7173" width="7.42578125" style="1" customWidth="1"/>
    <col min="7174" max="7174" width="0" style="1" hidden="1" customWidth="1"/>
    <col min="7175" max="7176" width="9.28515625" style="1" customWidth="1"/>
    <col min="7177" max="7178" width="7.140625" style="1" customWidth="1"/>
    <col min="7179" max="7179" width="9.85546875" style="1" customWidth="1"/>
    <col min="7180" max="7180" width="10.42578125" style="1" customWidth="1"/>
    <col min="7181" max="7181" width="10.28515625" style="1" customWidth="1"/>
    <col min="7182" max="7184" width="0" style="1" hidden="1" customWidth="1"/>
    <col min="7185" max="7185" width="7.140625" style="1" customWidth="1"/>
    <col min="7186" max="7186" width="8.42578125" style="1" customWidth="1"/>
    <col min="7187" max="7424" width="9.140625" style="1"/>
    <col min="7425" max="7425" width="3.5703125" style="1" customWidth="1"/>
    <col min="7426" max="7426" width="31.85546875" style="1" customWidth="1"/>
    <col min="7427" max="7428" width="0" style="1" hidden="1" customWidth="1"/>
    <col min="7429" max="7429" width="7.42578125" style="1" customWidth="1"/>
    <col min="7430" max="7430" width="0" style="1" hidden="1" customWidth="1"/>
    <col min="7431" max="7432" width="9.28515625" style="1" customWidth="1"/>
    <col min="7433" max="7434" width="7.140625" style="1" customWidth="1"/>
    <col min="7435" max="7435" width="9.85546875" style="1" customWidth="1"/>
    <col min="7436" max="7436" width="10.42578125" style="1" customWidth="1"/>
    <col min="7437" max="7437" width="10.28515625" style="1" customWidth="1"/>
    <col min="7438" max="7440" width="0" style="1" hidden="1" customWidth="1"/>
    <col min="7441" max="7441" width="7.140625" style="1" customWidth="1"/>
    <col min="7442" max="7442" width="8.42578125" style="1" customWidth="1"/>
    <col min="7443" max="7680" width="9.140625" style="1"/>
    <col min="7681" max="7681" width="3.5703125" style="1" customWidth="1"/>
    <col min="7682" max="7682" width="31.85546875" style="1" customWidth="1"/>
    <col min="7683" max="7684" width="0" style="1" hidden="1" customWidth="1"/>
    <col min="7685" max="7685" width="7.42578125" style="1" customWidth="1"/>
    <col min="7686" max="7686" width="0" style="1" hidden="1" customWidth="1"/>
    <col min="7687" max="7688" width="9.28515625" style="1" customWidth="1"/>
    <col min="7689" max="7690" width="7.140625" style="1" customWidth="1"/>
    <col min="7691" max="7691" width="9.85546875" style="1" customWidth="1"/>
    <col min="7692" max="7692" width="10.42578125" style="1" customWidth="1"/>
    <col min="7693" max="7693" width="10.28515625" style="1" customWidth="1"/>
    <col min="7694" max="7696" width="0" style="1" hidden="1" customWidth="1"/>
    <col min="7697" max="7697" width="7.140625" style="1" customWidth="1"/>
    <col min="7698" max="7698" width="8.42578125" style="1" customWidth="1"/>
    <col min="7699" max="7936" width="9.140625" style="1"/>
    <col min="7937" max="7937" width="3.5703125" style="1" customWidth="1"/>
    <col min="7938" max="7938" width="31.85546875" style="1" customWidth="1"/>
    <col min="7939" max="7940" width="0" style="1" hidden="1" customWidth="1"/>
    <col min="7941" max="7941" width="7.42578125" style="1" customWidth="1"/>
    <col min="7942" max="7942" width="0" style="1" hidden="1" customWidth="1"/>
    <col min="7943" max="7944" width="9.28515625" style="1" customWidth="1"/>
    <col min="7945" max="7946" width="7.140625" style="1" customWidth="1"/>
    <col min="7947" max="7947" width="9.85546875" style="1" customWidth="1"/>
    <col min="7948" max="7948" width="10.42578125" style="1" customWidth="1"/>
    <col min="7949" max="7949" width="10.28515625" style="1" customWidth="1"/>
    <col min="7950" max="7952" width="0" style="1" hidden="1" customWidth="1"/>
    <col min="7953" max="7953" width="7.140625" style="1" customWidth="1"/>
    <col min="7954" max="7954" width="8.42578125" style="1" customWidth="1"/>
    <col min="7955" max="8192" width="9.140625" style="1"/>
    <col min="8193" max="8193" width="3.5703125" style="1" customWidth="1"/>
    <col min="8194" max="8194" width="31.85546875" style="1" customWidth="1"/>
    <col min="8195" max="8196" width="0" style="1" hidden="1" customWidth="1"/>
    <col min="8197" max="8197" width="7.42578125" style="1" customWidth="1"/>
    <col min="8198" max="8198" width="0" style="1" hidden="1" customWidth="1"/>
    <col min="8199" max="8200" width="9.28515625" style="1" customWidth="1"/>
    <col min="8201" max="8202" width="7.140625" style="1" customWidth="1"/>
    <col min="8203" max="8203" width="9.85546875" style="1" customWidth="1"/>
    <col min="8204" max="8204" width="10.42578125" style="1" customWidth="1"/>
    <col min="8205" max="8205" width="10.28515625" style="1" customWidth="1"/>
    <col min="8206" max="8208" width="0" style="1" hidden="1" customWidth="1"/>
    <col min="8209" max="8209" width="7.140625" style="1" customWidth="1"/>
    <col min="8210" max="8210" width="8.42578125" style="1" customWidth="1"/>
    <col min="8211" max="8448" width="9.140625" style="1"/>
    <col min="8449" max="8449" width="3.5703125" style="1" customWidth="1"/>
    <col min="8450" max="8450" width="31.85546875" style="1" customWidth="1"/>
    <col min="8451" max="8452" width="0" style="1" hidden="1" customWidth="1"/>
    <col min="8453" max="8453" width="7.42578125" style="1" customWidth="1"/>
    <col min="8454" max="8454" width="0" style="1" hidden="1" customWidth="1"/>
    <col min="8455" max="8456" width="9.28515625" style="1" customWidth="1"/>
    <col min="8457" max="8458" width="7.140625" style="1" customWidth="1"/>
    <col min="8459" max="8459" width="9.85546875" style="1" customWidth="1"/>
    <col min="8460" max="8460" width="10.42578125" style="1" customWidth="1"/>
    <col min="8461" max="8461" width="10.28515625" style="1" customWidth="1"/>
    <col min="8462" max="8464" width="0" style="1" hidden="1" customWidth="1"/>
    <col min="8465" max="8465" width="7.140625" style="1" customWidth="1"/>
    <col min="8466" max="8466" width="8.42578125" style="1" customWidth="1"/>
    <col min="8467" max="8704" width="9.140625" style="1"/>
    <col min="8705" max="8705" width="3.5703125" style="1" customWidth="1"/>
    <col min="8706" max="8706" width="31.85546875" style="1" customWidth="1"/>
    <col min="8707" max="8708" width="0" style="1" hidden="1" customWidth="1"/>
    <col min="8709" max="8709" width="7.42578125" style="1" customWidth="1"/>
    <col min="8710" max="8710" width="0" style="1" hidden="1" customWidth="1"/>
    <col min="8711" max="8712" width="9.28515625" style="1" customWidth="1"/>
    <col min="8713" max="8714" width="7.140625" style="1" customWidth="1"/>
    <col min="8715" max="8715" width="9.85546875" style="1" customWidth="1"/>
    <col min="8716" max="8716" width="10.42578125" style="1" customWidth="1"/>
    <col min="8717" max="8717" width="10.28515625" style="1" customWidth="1"/>
    <col min="8718" max="8720" width="0" style="1" hidden="1" customWidth="1"/>
    <col min="8721" max="8721" width="7.140625" style="1" customWidth="1"/>
    <col min="8722" max="8722" width="8.42578125" style="1" customWidth="1"/>
    <col min="8723" max="8960" width="9.140625" style="1"/>
    <col min="8961" max="8961" width="3.5703125" style="1" customWidth="1"/>
    <col min="8962" max="8962" width="31.85546875" style="1" customWidth="1"/>
    <col min="8963" max="8964" width="0" style="1" hidden="1" customWidth="1"/>
    <col min="8965" max="8965" width="7.42578125" style="1" customWidth="1"/>
    <col min="8966" max="8966" width="0" style="1" hidden="1" customWidth="1"/>
    <col min="8967" max="8968" width="9.28515625" style="1" customWidth="1"/>
    <col min="8969" max="8970" width="7.140625" style="1" customWidth="1"/>
    <col min="8971" max="8971" width="9.85546875" style="1" customWidth="1"/>
    <col min="8972" max="8972" width="10.42578125" style="1" customWidth="1"/>
    <col min="8973" max="8973" width="10.28515625" style="1" customWidth="1"/>
    <col min="8974" max="8976" width="0" style="1" hidden="1" customWidth="1"/>
    <col min="8977" max="8977" width="7.140625" style="1" customWidth="1"/>
    <col min="8978" max="8978" width="8.42578125" style="1" customWidth="1"/>
    <col min="8979" max="9216" width="9.140625" style="1"/>
    <col min="9217" max="9217" width="3.5703125" style="1" customWidth="1"/>
    <col min="9218" max="9218" width="31.85546875" style="1" customWidth="1"/>
    <col min="9219" max="9220" width="0" style="1" hidden="1" customWidth="1"/>
    <col min="9221" max="9221" width="7.42578125" style="1" customWidth="1"/>
    <col min="9222" max="9222" width="0" style="1" hidden="1" customWidth="1"/>
    <col min="9223" max="9224" width="9.28515625" style="1" customWidth="1"/>
    <col min="9225" max="9226" width="7.140625" style="1" customWidth="1"/>
    <col min="9227" max="9227" width="9.85546875" style="1" customWidth="1"/>
    <col min="9228" max="9228" width="10.42578125" style="1" customWidth="1"/>
    <col min="9229" max="9229" width="10.28515625" style="1" customWidth="1"/>
    <col min="9230" max="9232" width="0" style="1" hidden="1" customWidth="1"/>
    <col min="9233" max="9233" width="7.140625" style="1" customWidth="1"/>
    <col min="9234" max="9234" width="8.42578125" style="1" customWidth="1"/>
    <col min="9235" max="9472" width="9.140625" style="1"/>
    <col min="9473" max="9473" width="3.5703125" style="1" customWidth="1"/>
    <col min="9474" max="9474" width="31.85546875" style="1" customWidth="1"/>
    <col min="9475" max="9476" width="0" style="1" hidden="1" customWidth="1"/>
    <col min="9477" max="9477" width="7.42578125" style="1" customWidth="1"/>
    <col min="9478" max="9478" width="0" style="1" hidden="1" customWidth="1"/>
    <col min="9479" max="9480" width="9.28515625" style="1" customWidth="1"/>
    <col min="9481" max="9482" width="7.140625" style="1" customWidth="1"/>
    <col min="9483" max="9483" width="9.85546875" style="1" customWidth="1"/>
    <col min="9484" max="9484" width="10.42578125" style="1" customWidth="1"/>
    <col min="9485" max="9485" width="10.28515625" style="1" customWidth="1"/>
    <col min="9486" max="9488" width="0" style="1" hidden="1" customWidth="1"/>
    <col min="9489" max="9489" width="7.140625" style="1" customWidth="1"/>
    <col min="9490" max="9490" width="8.42578125" style="1" customWidth="1"/>
    <col min="9491" max="9728" width="9.140625" style="1"/>
    <col min="9729" max="9729" width="3.5703125" style="1" customWidth="1"/>
    <col min="9730" max="9730" width="31.85546875" style="1" customWidth="1"/>
    <col min="9731" max="9732" width="0" style="1" hidden="1" customWidth="1"/>
    <col min="9733" max="9733" width="7.42578125" style="1" customWidth="1"/>
    <col min="9734" max="9734" width="0" style="1" hidden="1" customWidth="1"/>
    <col min="9735" max="9736" width="9.28515625" style="1" customWidth="1"/>
    <col min="9737" max="9738" width="7.140625" style="1" customWidth="1"/>
    <col min="9739" max="9739" width="9.85546875" style="1" customWidth="1"/>
    <col min="9740" max="9740" width="10.42578125" style="1" customWidth="1"/>
    <col min="9741" max="9741" width="10.28515625" style="1" customWidth="1"/>
    <col min="9742" max="9744" width="0" style="1" hidden="1" customWidth="1"/>
    <col min="9745" max="9745" width="7.140625" style="1" customWidth="1"/>
    <col min="9746" max="9746" width="8.42578125" style="1" customWidth="1"/>
    <col min="9747" max="9984" width="9.140625" style="1"/>
    <col min="9985" max="9985" width="3.5703125" style="1" customWidth="1"/>
    <col min="9986" max="9986" width="31.85546875" style="1" customWidth="1"/>
    <col min="9987" max="9988" width="0" style="1" hidden="1" customWidth="1"/>
    <col min="9989" max="9989" width="7.42578125" style="1" customWidth="1"/>
    <col min="9990" max="9990" width="0" style="1" hidden="1" customWidth="1"/>
    <col min="9991" max="9992" width="9.28515625" style="1" customWidth="1"/>
    <col min="9993" max="9994" width="7.140625" style="1" customWidth="1"/>
    <col min="9995" max="9995" width="9.85546875" style="1" customWidth="1"/>
    <col min="9996" max="9996" width="10.42578125" style="1" customWidth="1"/>
    <col min="9997" max="9997" width="10.28515625" style="1" customWidth="1"/>
    <col min="9998" max="10000" width="0" style="1" hidden="1" customWidth="1"/>
    <col min="10001" max="10001" width="7.140625" style="1" customWidth="1"/>
    <col min="10002" max="10002" width="8.42578125" style="1" customWidth="1"/>
    <col min="10003" max="10240" width="9.140625" style="1"/>
    <col min="10241" max="10241" width="3.5703125" style="1" customWidth="1"/>
    <col min="10242" max="10242" width="31.85546875" style="1" customWidth="1"/>
    <col min="10243" max="10244" width="0" style="1" hidden="1" customWidth="1"/>
    <col min="10245" max="10245" width="7.42578125" style="1" customWidth="1"/>
    <col min="10246" max="10246" width="0" style="1" hidden="1" customWidth="1"/>
    <col min="10247" max="10248" width="9.28515625" style="1" customWidth="1"/>
    <col min="10249" max="10250" width="7.140625" style="1" customWidth="1"/>
    <col min="10251" max="10251" width="9.85546875" style="1" customWidth="1"/>
    <col min="10252" max="10252" width="10.42578125" style="1" customWidth="1"/>
    <col min="10253" max="10253" width="10.28515625" style="1" customWidth="1"/>
    <col min="10254" max="10256" width="0" style="1" hidden="1" customWidth="1"/>
    <col min="10257" max="10257" width="7.140625" style="1" customWidth="1"/>
    <col min="10258" max="10258" width="8.42578125" style="1" customWidth="1"/>
    <col min="10259" max="10496" width="9.140625" style="1"/>
    <col min="10497" max="10497" width="3.5703125" style="1" customWidth="1"/>
    <col min="10498" max="10498" width="31.85546875" style="1" customWidth="1"/>
    <col min="10499" max="10500" width="0" style="1" hidden="1" customWidth="1"/>
    <col min="10501" max="10501" width="7.42578125" style="1" customWidth="1"/>
    <col min="10502" max="10502" width="0" style="1" hidden="1" customWidth="1"/>
    <col min="10503" max="10504" width="9.28515625" style="1" customWidth="1"/>
    <col min="10505" max="10506" width="7.140625" style="1" customWidth="1"/>
    <col min="10507" max="10507" width="9.85546875" style="1" customWidth="1"/>
    <col min="10508" max="10508" width="10.42578125" style="1" customWidth="1"/>
    <col min="10509" max="10509" width="10.28515625" style="1" customWidth="1"/>
    <col min="10510" max="10512" width="0" style="1" hidden="1" customWidth="1"/>
    <col min="10513" max="10513" width="7.140625" style="1" customWidth="1"/>
    <col min="10514" max="10514" width="8.42578125" style="1" customWidth="1"/>
    <col min="10515" max="10752" width="9.140625" style="1"/>
    <col min="10753" max="10753" width="3.5703125" style="1" customWidth="1"/>
    <col min="10754" max="10754" width="31.85546875" style="1" customWidth="1"/>
    <col min="10755" max="10756" width="0" style="1" hidden="1" customWidth="1"/>
    <col min="10757" max="10757" width="7.42578125" style="1" customWidth="1"/>
    <col min="10758" max="10758" width="0" style="1" hidden="1" customWidth="1"/>
    <col min="10759" max="10760" width="9.28515625" style="1" customWidth="1"/>
    <col min="10761" max="10762" width="7.140625" style="1" customWidth="1"/>
    <col min="10763" max="10763" width="9.85546875" style="1" customWidth="1"/>
    <col min="10764" max="10764" width="10.42578125" style="1" customWidth="1"/>
    <col min="10765" max="10765" width="10.28515625" style="1" customWidth="1"/>
    <col min="10766" max="10768" width="0" style="1" hidden="1" customWidth="1"/>
    <col min="10769" max="10769" width="7.140625" style="1" customWidth="1"/>
    <col min="10770" max="10770" width="8.42578125" style="1" customWidth="1"/>
    <col min="10771" max="11008" width="9.140625" style="1"/>
    <col min="11009" max="11009" width="3.5703125" style="1" customWidth="1"/>
    <col min="11010" max="11010" width="31.85546875" style="1" customWidth="1"/>
    <col min="11011" max="11012" width="0" style="1" hidden="1" customWidth="1"/>
    <col min="11013" max="11013" width="7.42578125" style="1" customWidth="1"/>
    <col min="11014" max="11014" width="0" style="1" hidden="1" customWidth="1"/>
    <col min="11015" max="11016" width="9.28515625" style="1" customWidth="1"/>
    <col min="11017" max="11018" width="7.140625" style="1" customWidth="1"/>
    <col min="11019" max="11019" width="9.85546875" style="1" customWidth="1"/>
    <col min="11020" max="11020" width="10.42578125" style="1" customWidth="1"/>
    <col min="11021" max="11021" width="10.28515625" style="1" customWidth="1"/>
    <col min="11022" max="11024" width="0" style="1" hidden="1" customWidth="1"/>
    <col min="11025" max="11025" width="7.140625" style="1" customWidth="1"/>
    <col min="11026" max="11026" width="8.42578125" style="1" customWidth="1"/>
    <col min="11027" max="11264" width="9.140625" style="1"/>
    <col min="11265" max="11265" width="3.5703125" style="1" customWidth="1"/>
    <col min="11266" max="11266" width="31.85546875" style="1" customWidth="1"/>
    <col min="11267" max="11268" width="0" style="1" hidden="1" customWidth="1"/>
    <col min="11269" max="11269" width="7.42578125" style="1" customWidth="1"/>
    <col min="11270" max="11270" width="0" style="1" hidden="1" customWidth="1"/>
    <col min="11271" max="11272" width="9.28515625" style="1" customWidth="1"/>
    <col min="11273" max="11274" width="7.140625" style="1" customWidth="1"/>
    <col min="11275" max="11275" width="9.85546875" style="1" customWidth="1"/>
    <col min="11276" max="11276" width="10.42578125" style="1" customWidth="1"/>
    <col min="11277" max="11277" width="10.28515625" style="1" customWidth="1"/>
    <col min="11278" max="11280" width="0" style="1" hidden="1" customWidth="1"/>
    <col min="11281" max="11281" width="7.140625" style="1" customWidth="1"/>
    <col min="11282" max="11282" width="8.42578125" style="1" customWidth="1"/>
    <col min="11283" max="11520" width="9.140625" style="1"/>
    <col min="11521" max="11521" width="3.5703125" style="1" customWidth="1"/>
    <col min="11522" max="11522" width="31.85546875" style="1" customWidth="1"/>
    <col min="11523" max="11524" width="0" style="1" hidden="1" customWidth="1"/>
    <col min="11525" max="11525" width="7.42578125" style="1" customWidth="1"/>
    <col min="11526" max="11526" width="0" style="1" hidden="1" customWidth="1"/>
    <col min="11527" max="11528" width="9.28515625" style="1" customWidth="1"/>
    <col min="11529" max="11530" width="7.140625" style="1" customWidth="1"/>
    <col min="11531" max="11531" width="9.85546875" style="1" customWidth="1"/>
    <col min="11532" max="11532" width="10.42578125" style="1" customWidth="1"/>
    <col min="11533" max="11533" width="10.28515625" style="1" customWidth="1"/>
    <col min="11534" max="11536" width="0" style="1" hidden="1" customWidth="1"/>
    <col min="11537" max="11537" width="7.140625" style="1" customWidth="1"/>
    <col min="11538" max="11538" width="8.42578125" style="1" customWidth="1"/>
    <col min="11539" max="11776" width="9.140625" style="1"/>
    <col min="11777" max="11777" width="3.5703125" style="1" customWidth="1"/>
    <col min="11778" max="11778" width="31.85546875" style="1" customWidth="1"/>
    <col min="11779" max="11780" width="0" style="1" hidden="1" customWidth="1"/>
    <col min="11781" max="11781" width="7.42578125" style="1" customWidth="1"/>
    <col min="11782" max="11782" width="0" style="1" hidden="1" customWidth="1"/>
    <col min="11783" max="11784" width="9.28515625" style="1" customWidth="1"/>
    <col min="11785" max="11786" width="7.140625" style="1" customWidth="1"/>
    <col min="11787" max="11787" width="9.85546875" style="1" customWidth="1"/>
    <col min="11788" max="11788" width="10.42578125" style="1" customWidth="1"/>
    <col min="11789" max="11789" width="10.28515625" style="1" customWidth="1"/>
    <col min="11790" max="11792" width="0" style="1" hidden="1" customWidth="1"/>
    <col min="11793" max="11793" width="7.140625" style="1" customWidth="1"/>
    <col min="11794" max="11794" width="8.42578125" style="1" customWidth="1"/>
    <col min="11795" max="12032" width="9.140625" style="1"/>
    <col min="12033" max="12033" width="3.5703125" style="1" customWidth="1"/>
    <col min="12034" max="12034" width="31.85546875" style="1" customWidth="1"/>
    <col min="12035" max="12036" width="0" style="1" hidden="1" customWidth="1"/>
    <col min="12037" max="12037" width="7.42578125" style="1" customWidth="1"/>
    <col min="12038" max="12038" width="0" style="1" hidden="1" customWidth="1"/>
    <col min="12039" max="12040" width="9.28515625" style="1" customWidth="1"/>
    <col min="12041" max="12042" width="7.140625" style="1" customWidth="1"/>
    <col min="12043" max="12043" width="9.85546875" style="1" customWidth="1"/>
    <col min="12044" max="12044" width="10.42578125" style="1" customWidth="1"/>
    <col min="12045" max="12045" width="10.28515625" style="1" customWidth="1"/>
    <col min="12046" max="12048" width="0" style="1" hidden="1" customWidth="1"/>
    <col min="12049" max="12049" width="7.140625" style="1" customWidth="1"/>
    <col min="12050" max="12050" width="8.42578125" style="1" customWidth="1"/>
    <col min="12051" max="12288" width="9.140625" style="1"/>
    <col min="12289" max="12289" width="3.5703125" style="1" customWidth="1"/>
    <col min="12290" max="12290" width="31.85546875" style="1" customWidth="1"/>
    <col min="12291" max="12292" width="0" style="1" hidden="1" customWidth="1"/>
    <col min="12293" max="12293" width="7.42578125" style="1" customWidth="1"/>
    <col min="12294" max="12294" width="0" style="1" hidden="1" customWidth="1"/>
    <col min="12295" max="12296" width="9.28515625" style="1" customWidth="1"/>
    <col min="12297" max="12298" width="7.140625" style="1" customWidth="1"/>
    <col min="12299" max="12299" width="9.85546875" style="1" customWidth="1"/>
    <col min="12300" max="12300" width="10.42578125" style="1" customWidth="1"/>
    <col min="12301" max="12301" width="10.28515625" style="1" customWidth="1"/>
    <col min="12302" max="12304" width="0" style="1" hidden="1" customWidth="1"/>
    <col min="12305" max="12305" width="7.140625" style="1" customWidth="1"/>
    <col min="12306" max="12306" width="8.42578125" style="1" customWidth="1"/>
    <col min="12307" max="12544" width="9.140625" style="1"/>
    <col min="12545" max="12545" width="3.5703125" style="1" customWidth="1"/>
    <col min="12546" max="12546" width="31.85546875" style="1" customWidth="1"/>
    <col min="12547" max="12548" width="0" style="1" hidden="1" customWidth="1"/>
    <col min="12549" max="12549" width="7.42578125" style="1" customWidth="1"/>
    <col min="12550" max="12550" width="0" style="1" hidden="1" customWidth="1"/>
    <col min="12551" max="12552" width="9.28515625" style="1" customWidth="1"/>
    <col min="12553" max="12554" width="7.140625" style="1" customWidth="1"/>
    <col min="12555" max="12555" width="9.85546875" style="1" customWidth="1"/>
    <col min="12556" max="12556" width="10.42578125" style="1" customWidth="1"/>
    <col min="12557" max="12557" width="10.28515625" style="1" customWidth="1"/>
    <col min="12558" max="12560" width="0" style="1" hidden="1" customWidth="1"/>
    <col min="12561" max="12561" width="7.140625" style="1" customWidth="1"/>
    <col min="12562" max="12562" width="8.42578125" style="1" customWidth="1"/>
    <col min="12563" max="12800" width="9.140625" style="1"/>
    <col min="12801" max="12801" width="3.5703125" style="1" customWidth="1"/>
    <col min="12802" max="12802" width="31.85546875" style="1" customWidth="1"/>
    <col min="12803" max="12804" width="0" style="1" hidden="1" customWidth="1"/>
    <col min="12805" max="12805" width="7.42578125" style="1" customWidth="1"/>
    <col min="12806" max="12806" width="0" style="1" hidden="1" customWidth="1"/>
    <col min="12807" max="12808" width="9.28515625" style="1" customWidth="1"/>
    <col min="12809" max="12810" width="7.140625" style="1" customWidth="1"/>
    <col min="12811" max="12811" width="9.85546875" style="1" customWidth="1"/>
    <col min="12812" max="12812" width="10.42578125" style="1" customWidth="1"/>
    <col min="12813" max="12813" width="10.28515625" style="1" customWidth="1"/>
    <col min="12814" max="12816" width="0" style="1" hidden="1" customWidth="1"/>
    <col min="12817" max="12817" width="7.140625" style="1" customWidth="1"/>
    <col min="12818" max="12818" width="8.42578125" style="1" customWidth="1"/>
    <col min="12819" max="13056" width="9.140625" style="1"/>
    <col min="13057" max="13057" width="3.5703125" style="1" customWidth="1"/>
    <col min="13058" max="13058" width="31.85546875" style="1" customWidth="1"/>
    <col min="13059" max="13060" width="0" style="1" hidden="1" customWidth="1"/>
    <col min="13061" max="13061" width="7.42578125" style="1" customWidth="1"/>
    <col min="13062" max="13062" width="0" style="1" hidden="1" customWidth="1"/>
    <col min="13063" max="13064" width="9.28515625" style="1" customWidth="1"/>
    <col min="13065" max="13066" width="7.140625" style="1" customWidth="1"/>
    <col min="13067" max="13067" width="9.85546875" style="1" customWidth="1"/>
    <col min="13068" max="13068" width="10.42578125" style="1" customWidth="1"/>
    <col min="13069" max="13069" width="10.28515625" style="1" customWidth="1"/>
    <col min="13070" max="13072" width="0" style="1" hidden="1" customWidth="1"/>
    <col min="13073" max="13073" width="7.140625" style="1" customWidth="1"/>
    <col min="13074" max="13074" width="8.42578125" style="1" customWidth="1"/>
    <col min="13075" max="13312" width="9.140625" style="1"/>
    <col min="13313" max="13313" width="3.5703125" style="1" customWidth="1"/>
    <col min="13314" max="13314" width="31.85546875" style="1" customWidth="1"/>
    <col min="13315" max="13316" width="0" style="1" hidden="1" customWidth="1"/>
    <col min="13317" max="13317" width="7.42578125" style="1" customWidth="1"/>
    <col min="13318" max="13318" width="0" style="1" hidden="1" customWidth="1"/>
    <col min="13319" max="13320" width="9.28515625" style="1" customWidth="1"/>
    <col min="13321" max="13322" width="7.140625" style="1" customWidth="1"/>
    <col min="13323" max="13323" width="9.85546875" style="1" customWidth="1"/>
    <col min="13324" max="13324" width="10.42578125" style="1" customWidth="1"/>
    <col min="13325" max="13325" width="10.28515625" style="1" customWidth="1"/>
    <col min="13326" max="13328" width="0" style="1" hidden="1" customWidth="1"/>
    <col min="13329" max="13329" width="7.140625" style="1" customWidth="1"/>
    <col min="13330" max="13330" width="8.42578125" style="1" customWidth="1"/>
    <col min="13331" max="13568" width="9.140625" style="1"/>
    <col min="13569" max="13569" width="3.5703125" style="1" customWidth="1"/>
    <col min="13570" max="13570" width="31.85546875" style="1" customWidth="1"/>
    <col min="13571" max="13572" width="0" style="1" hidden="1" customWidth="1"/>
    <col min="13573" max="13573" width="7.42578125" style="1" customWidth="1"/>
    <col min="13574" max="13574" width="0" style="1" hidden="1" customWidth="1"/>
    <col min="13575" max="13576" width="9.28515625" style="1" customWidth="1"/>
    <col min="13577" max="13578" width="7.140625" style="1" customWidth="1"/>
    <col min="13579" max="13579" width="9.85546875" style="1" customWidth="1"/>
    <col min="13580" max="13580" width="10.42578125" style="1" customWidth="1"/>
    <col min="13581" max="13581" width="10.28515625" style="1" customWidth="1"/>
    <col min="13582" max="13584" width="0" style="1" hidden="1" customWidth="1"/>
    <col min="13585" max="13585" width="7.140625" style="1" customWidth="1"/>
    <col min="13586" max="13586" width="8.42578125" style="1" customWidth="1"/>
    <col min="13587" max="13824" width="9.140625" style="1"/>
    <col min="13825" max="13825" width="3.5703125" style="1" customWidth="1"/>
    <col min="13826" max="13826" width="31.85546875" style="1" customWidth="1"/>
    <col min="13827" max="13828" width="0" style="1" hidden="1" customWidth="1"/>
    <col min="13829" max="13829" width="7.42578125" style="1" customWidth="1"/>
    <col min="13830" max="13830" width="0" style="1" hidden="1" customWidth="1"/>
    <col min="13831" max="13832" width="9.28515625" style="1" customWidth="1"/>
    <col min="13833" max="13834" width="7.140625" style="1" customWidth="1"/>
    <col min="13835" max="13835" width="9.85546875" style="1" customWidth="1"/>
    <col min="13836" max="13836" width="10.42578125" style="1" customWidth="1"/>
    <col min="13837" max="13837" width="10.28515625" style="1" customWidth="1"/>
    <col min="13838" max="13840" width="0" style="1" hidden="1" customWidth="1"/>
    <col min="13841" max="13841" width="7.140625" style="1" customWidth="1"/>
    <col min="13842" max="13842" width="8.42578125" style="1" customWidth="1"/>
    <col min="13843" max="14080" width="9.140625" style="1"/>
    <col min="14081" max="14081" width="3.5703125" style="1" customWidth="1"/>
    <col min="14082" max="14082" width="31.85546875" style="1" customWidth="1"/>
    <col min="14083" max="14084" width="0" style="1" hidden="1" customWidth="1"/>
    <col min="14085" max="14085" width="7.42578125" style="1" customWidth="1"/>
    <col min="14086" max="14086" width="0" style="1" hidden="1" customWidth="1"/>
    <col min="14087" max="14088" width="9.28515625" style="1" customWidth="1"/>
    <col min="14089" max="14090" width="7.140625" style="1" customWidth="1"/>
    <col min="14091" max="14091" width="9.85546875" style="1" customWidth="1"/>
    <col min="14092" max="14092" width="10.42578125" style="1" customWidth="1"/>
    <col min="14093" max="14093" width="10.28515625" style="1" customWidth="1"/>
    <col min="14094" max="14096" width="0" style="1" hidden="1" customWidth="1"/>
    <col min="14097" max="14097" width="7.140625" style="1" customWidth="1"/>
    <col min="14098" max="14098" width="8.42578125" style="1" customWidth="1"/>
    <col min="14099" max="14336" width="9.140625" style="1"/>
    <col min="14337" max="14337" width="3.5703125" style="1" customWidth="1"/>
    <col min="14338" max="14338" width="31.85546875" style="1" customWidth="1"/>
    <col min="14339" max="14340" width="0" style="1" hidden="1" customWidth="1"/>
    <col min="14341" max="14341" width="7.42578125" style="1" customWidth="1"/>
    <col min="14342" max="14342" width="0" style="1" hidden="1" customWidth="1"/>
    <col min="14343" max="14344" width="9.28515625" style="1" customWidth="1"/>
    <col min="14345" max="14346" width="7.140625" style="1" customWidth="1"/>
    <col min="14347" max="14347" width="9.85546875" style="1" customWidth="1"/>
    <col min="14348" max="14348" width="10.42578125" style="1" customWidth="1"/>
    <col min="14349" max="14349" width="10.28515625" style="1" customWidth="1"/>
    <col min="14350" max="14352" width="0" style="1" hidden="1" customWidth="1"/>
    <col min="14353" max="14353" width="7.140625" style="1" customWidth="1"/>
    <col min="14354" max="14354" width="8.42578125" style="1" customWidth="1"/>
    <col min="14355" max="14592" width="9.140625" style="1"/>
    <col min="14593" max="14593" width="3.5703125" style="1" customWidth="1"/>
    <col min="14594" max="14594" width="31.85546875" style="1" customWidth="1"/>
    <col min="14595" max="14596" width="0" style="1" hidden="1" customWidth="1"/>
    <col min="14597" max="14597" width="7.42578125" style="1" customWidth="1"/>
    <col min="14598" max="14598" width="0" style="1" hidden="1" customWidth="1"/>
    <col min="14599" max="14600" width="9.28515625" style="1" customWidth="1"/>
    <col min="14601" max="14602" width="7.140625" style="1" customWidth="1"/>
    <col min="14603" max="14603" width="9.85546875" style="1" customWidth="1"/>
    <col min="14604" max="14604" width="10.42578125" style="1" customWidth="1"/>
    <col min="14605" max="14605" width="10.28515625" style="1" customWidth="1"/>
    <col min="14606" max="14608" width="0" style="1" hidden="1" customWidth="1"/>
    <col min="14609" max="14609" width="7.140625" style="1" customWidth="1"/>
    <col min="14610" max="14610" width="8.42578125" style="1" customWidth="1"/>
    <col min="14611" max="14848" width="9.140625" style="1"/>
    <col min="14849" max="14849" width="3.5703125" style="1" customWidth="1"/>
    <col min="14850" max="14850" width="31.85546875" style="1" customWidth="1"/>
    <col min="14851" max="14852" width="0" style="1" hidden="1" customWidth="1"/>
    <col min="14853" max="14853" width="7.42578125" style="1" customWidth="1"/>
    <col min="14854" max="14854" width="0" style="1" hidden="1" customWidth="1"/>
    <col min="14855" max="14856" width="9.28515625" style="1" customWidth="1"/>
    <col min="14857" max="14858" width="7.140625" style="1" customWidth="1"/>
    <col min="14859" max="14859" width="9.85546875" style="1" customWidth="1"/>
    <col min="14860" max="14860" width="10.42578125" style="1" customWidth="1"/>
    <col min="14861" max="14861" width="10.28515625" style="1" customWidth="1"/>
    <col min="14862" max="14864" width="0" style="1" hidden="1" customWidth="1"/>
    <col min="14865" max="14865" width="7.140625" style="1" customWidth="1"/>
    <col min="14866" max="14866" width="8.42578125" style="1" customWidth="1"/>
    <col min="14867" max="15104" width="9.140625" style="1"/>
    <col min="15105" max="15105" width="3.5703125" style="1" customWidth="1"/>
    <col min="15106" max="15106" width="31.85546875" style="1" customWidth="1"/>
    <col min="15107" max="15108" width="0" style="1" hidden="1" customWidth="1"/>
    <col min="15109" max="15109" width="7.42578125" style="1" customWidth="1"/>
    <col min="15110" max="15110" width="0" style="1" hidden="1" customWidth="1"/>
    <col min="15111" max="15112" width="9.28515625" style="1" customWidth="1"/>
    <col min="15113" max="15114" width="7.140625" style="1" customWidth="1"/>
    <col min="15115" max="15115" width="9.85546875" style="1" customWidth="1"/>
    <col min="15116" max="15116" width="10.42578125" style="1" customWidth="1"/>
    <col min="15117" max="15117" width="10.28515625" style="1" customWidth="1"/>
    <col min="15118" max="15120" width="0" style="1" hidden="1" customWidth="1"/>
    <col min="15121" max="15121" width="7.140625" style="1" customWidth="1"/>
    <col min="15122" max="15122" width="8.42578125" style="1" customWidth="1"/>
    <col min="15123" max="15360" width="9.140625" style="1"/>
    <col min="15361" max="15361" width="3.5703125" style="1" customWidth="1"/>
    <col min="15362" max="15362" width="31.85546875" style="1" customWidth="1"/>
    <col min="15363" max="15364" width="0" style="1" hidden="1" customWidth="1"/>
    <col min="15365" max="15365" width="7.42578125" style="1" customWidth="1"/>
    <col min="15366" max="15366" width="0" style="1" hidden="1" customWidth="1"/>
    <col min="15367" max="15368" width="9.28515625" style="1" customWidth="1"/>
    <col min="15369" max="15370" width="7.140625" style="1" customWidth="1"/>
    <col min="15371" max="15371" width="9.85546875" style="1" customWidth="1"/>
    <col min="15372" max="15372" width="10.42578125" style="1" customWidth="1"/>
    <col min="15373" max="15373" width="10.28515625" style="1" customWidth="1"/>
    <col min="15374" max="15376" width="0" style="1" hidden="1" customWidth="1"/>
    <col min="15377" max="15377" width="7.140625" style="1" customWidth="1"/>
    <col min="15378" max="15378" width="8.42578125" style="1" customWidth="1"/>
    <col min="15379" max="15616" width="9.140625" style="1"/>
    <col min="15617" max="15617" width="3.5703125" style="1" customWidth="1"/>
    <col min="15618" max="15618" width="31.85546875" style="1" customWidth="1"/>
    <col min="15619" max="15620" width="0" style="1" hidden="1" customWidth="1"/>
    <col min="15621" max="15621" width="7.42578125" style="1" customWidth="1"/>
    <col min="15622" max="15622" width="0" style="1" hidden="1" customWidth="1"/>
    <col min="15623" max="15624" width="9.28515625" style="1" customWidth="1"/>
    <col min="15625" max="15626" width="7.140625" style="1" customWidth="1"/>
    <col min="15627" max="15627" width="9.85546875" style="1" customWidth="1"/>
    <col min="15628" max="15628" width="10.42578125" style="1" customWidth="1"/>
    <col min="15629" max="15629" width="10.28515625" style="1" customWidth="1"/>
    <col min="15630" max="15632" width="0" style="1" hidden="1" customWidth="1"/>
    <col min="15633" max="15633" width="7.140625" style="1" customWidth="1"/>
    <col min="15634" max="15634" width="8.42578125" style="1" customWidth="1"/>
    <col min="15635" max="15872" width="9.140625" style="1"/>
    <col min="15873" max="15873" width="3.5703125" style="1" customWidth="1"/>
    <col min="15874" max="15874" width="31.85546875" style="1" customWidth="1"/>
    <col min="15875" max="15876" width="0" style="1" hidden="1" customWidth="1"/>
    <col min="15877" max="15877" width="7.42578125" style="1" customWidth="1"/>
    <col min="15878" max="15878" width="0" style="1" hidden="1" customWidth="1"/>
    <col min="15879" max="15880" width="9.28515625" style="1" customWidth="1"/>
    <col min="15881" max="15882" width="7.140625" style="1" customWidth="1"/>
    <col min="15883" max="15883" width="9.85546875" style="1" customWidth="1"/>
    <col min="15884" max="15884" width="10.42578125" style="1" customWidth="1"/>
    <col min="15885" max="15885" width="10.28515625" style="1" customWidth="1"/>
    <col min="15886" max="15888" width="0" style="1" hidden="1" customWidth="1"/>
    <col min="15889" max="15889" width="7.140625" style="1" customWidth="1"/>
    <col min="15890" max="15890" width="8.42578125" style="1" customWidth="1"/>
    <col min="15891" max="16128" width="9.140625" style="1"/>
    <col min="16129" max="16129" width="3.5703125" style="1" customWidth="1"/>
    <col min="16130" max="16130" width="31.85546875" style="1" customWidth="1"/>
    <col min="16131" max="16132" width="0" style="1" hidden="1" customWidth="1"/>
    <col min="16133" max="16133" width="7.42578125" style="1" customWidth="1"/>
    <col min="16134" max="16134" width="0" style="1" hidden="1" customWidth="1"/>
    <col min="16135" max="16136" width="9.28515625" style="1" customWidth="1"/>
    <col min="16137" max="16138" width="7.140625" style="1" customWidth="1"/>
    <col min="16139" max="16139" width="9.85546875" style="1" customWidth="1"/>
    <col min="16140" max="16140" width="10.42578125" style="1" customWidth="1"/>
    <col min="16141" max="16141" width="10.28515625" style="1" customWidth="1"/>
    <col min="16142" max="16144" width="0" style="1" hidden="1" customWidth="1"/>
    <col min="16145" max="16145" width="7.140625" style="1" customWidth="1"/>
    <col min="16146" max="16146" width="8.42578125" style="1" customWidth="1"/>
    <col min="16147" max="16384" width="9.140625" style="1"/>
  </cols>
  <sheetData>
    <row r="1" spans="1:20">
      <c r="A1" s="272"/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86" t="s">
        <v>144</v>
      </c>
      <c r="R1" s="286"/>
    </row>
    <row r="2" spans="1:20" ht="15">
      <c r="A2" s="273" t="s">
        <v>0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</row>
    <row r="3" spans="1:20" ht="16.5" customHeight="1">
      <c r="A3" s="273" t="s">
        <v>1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</row>
    <row r="4" spans="1:20" ht="12.75" thickBot="1">
      <c r="A4" s="2"/>
      <c r="B4" s="2"/>
      <c r="C4" s="2"/>
      <c r="D4" s="2"/>
      <c r="E4" s="2"/>
      <c r="F4" s="2"/>
      <c r="G4" s="2"/>
      <c r="H4" s="2"/>
      <c r="I4" s="2"/>
      <c r="J4" s="2"/>
      <c r="R4" s="1" t="s">
        <v>2</v>
      </c>
    </row>
    <row r="5" spans="1:20" ht="15.75" customHeight="1" thickBot="1">
      <c r="A5" s="274" t="s">
        <v>3</v>
      </c>
      <c r="B5" s="277" t="s">
        <v>4</v>
      </c>
      <c r="C5" s="280" t="s">
        <v>5</v>
      </c>
      <c r="D5" s="280" t="s">
        <v>6</v>
      </c>
      <c r="E5" s="280" t="s">
        <v>7</v>
      </c>
      <c r="F5" s="274" t="s">
        <v>8</v>
      </c>
      <c r="G5" s="283" t="s">
        <v>9</v>
      </c>
      <c r="H5" s="284"/>
      <c r="I5" s="284"/>
      <c r="J5" s="284"/>
      <c r="K5" s="285"/>
      <c r="L5" s="274" t="s">
        <v>10</v>
      </c>
      <c r="M5" s="274" t="s">
        <v>11</v>
      </c>
      <c r="N5" s="288" t="s">
        <v>12</v>
      </c>
      <c r="O5" s="289"/>
      <c r="P5" s="292" t="s">
        <v>13</v>
      </c>
      <c r="Q5" s="292"/>
      <c r="R5" s="289"/>
    </row>
    <row r="6" spans="1:20" ht="36.75" customHeight="1" thickBot="1">
      <c r="A6" s="275"/>
      <c r="B6" s="278"/>
      <c r="C6" s="281"/>
      <c r="D6" s="281"/>
      <c r="E6" s="281"/>
      <c r="F6" s="275"/>
      <c r="G6" s="274" t="s">
        <v>14</v>
      </c>
      <c r="H6" s="274" t="s">
        <v>15</v>
      </c>
      <c r="I6" s="274" t="s">
        <v>16</v>
      </c>
      <c r="J6" s="274" t="s">
        <v>17</v>
      </c>
      <c r="K6" s="275" t="s">
        <v>18</v>
      </c>
      <c r="L6" s="275"/>
      <c r="M6" s="275"/>
      <c r="N6" s="290"/>
      <c r="O6" s="291"/>
      <c r="P6" s="293"/>
      <c r="Q6" s="293"/>
      <c r="R6" s="291"/>
    </row>
    <row r="7" spans="1:20" ht="49.5" customHeight="1" thickBot="1">
      <c r="A7" s="276"/>
      <c r="B7" s="279"/>
      <c r="C7" s="282"/>
      <c r="D7" s="282"/>
      <c r="E7" s="282"/>
      <c r="F7" s="276"/>
      <c r="G7" s="276"/>
      <c r="H7" s="276"/>
      <c r="I7" s="276"/>
      <c r="J7" s="276"/>
      <c r="K7" s="276"/>
      <c r="L7" s="276"/>
      <c r="M7" s="276"/>
      <c r="N7" s="3" t="s">
        <v>19</v>
      </c>
      <c r="O7" s="3" t="s">
        <v>20</v>
      </c>
      <c r="P7" s="4"/>
      <c r="Q7" s="3" t="s">
        <v>21</v>
      </c>
      <c r="R7" s="3" t="s">
        <v>22</v>
      </c>
    </row>
    <row r="8" spans="1:20">
      <c r="A8" s="5">
        <v>1</v>
      </c>
      <c r="B8" s="5">
        <v>2</v>
      </c>
      <c r="C8" s="5">
        <v>3</v>
      </c>
      <c r="D8" s="5">
        <v>4</v>
      </c>
      <c r="E8" s="5">
        <v>3</v>
      </c>
      <c r="F8" s="5">
        <v>6</v>
      </c>
      <c r="G8" s="5">
        <v>4</v>
      </c>
      <c r="H8" s="5">
        <v>5</v>
      </c>
      <c r="I8" s="5">
        <v>6</v>
      </c>
      <c r="J8" s="5">
        <v>7</v>
      </c>
      <c r="K8" s="5">
        <v>8</v>
      </c>
      <c r="L8" s="5">
        <v>9</v>
      </c>
      <c r="M8" s="5">
        <v>10</v>
      </c>
      <c r="N8" s="5">
        <v>11</v>
      </c>
      <c r="O8" s="5">
        <v>12</v>
      </c>
      <c r="P8" s="6">
        <v>10</v>
      </c>
      <c r="Q8" s="5">
        <v>11</v>
      </c>
      <c r="R8" s="5">
        <v>12</v>
      </c>
    </row>
    <row r="9" spans="1:20">
      <c r="A9" s="7">
        <v>1</v>
      </c>
      <c r="B9" s="8" t="s">
        <v>23</v>
      </c>
      <c r="C9" s="9">
        <f>+'[1]2013 m sav pask su MMA1000'!C9</f>
        <v>42.51</v>
      </c>
      <c r="D9" s="9">
        <f>+'[1]2013 m sav pask su MMA1000'!D9</f>
        <v>-11.99</v>
      </c>
      <c r="E9" s="9">
        <f>+'[1]2013 m sav pask su MMA1000'!E9</f>
        <v>30.519999999999996</v>
      </c>
      <c r="F9" s="10">
        <v>417</v>
      </c>
      <c r="G9" s="10">
        <f>+'[1]2013 m sav pask su MMA1000'!F9</f>
        <v>486.09999999999997</v>
      </c>
      <c r="H9" s="10">
        <f>+'[1]2013 m sav pask su MMA1000'!G9</f>
        <v>491.2</v>
      </c>
      <c r="I9" s="10">
        <f>+(H9*100/G9)-100</f>
        <v>1.0491668380991683</v>
      </c>
      <c r="J9" s="10">
        <f>+H9-G9</f>
        <v>5.1000000000000227</v>
      </c>
      <c r="K9" s="10">
        <f t="shared" ref="K9:K19" si="0">+H9/12</f>
        <v>40.93333333333333</v>
      </c>
      <c r="L9" s="10">
        <f t="shared" ref="L9:L19" si="1">+ROUND(H9*0.92638,1)</f>
        <v>455</v>
      </c>
      <c r="M9" s="10">
        <f>+L9/12</f>
        <v>37.916666666666664</v>
      </c>
      <c r="N9" s="10">
        <f t="shared" ref="N9:N72" si="2">(+L9*100/F9)-100</f>
        <v>9.1127098321342856</v>
      </c>
      <c r="O9" s="10">
        <f t="shared" ref="O9:O19" si="3">+L9-F9</f>
        <v>38</v>
      </c>
      <c r="P9" s="10"/>
      <c r="Q9" s="10">
        <f>+L9-H9</f>
        <v>-36.199999999999989</v>
      </c>
      <c r="R9" s="10">
        <f t="shared" ref="R9:R72" si="4">+L9/(H9/12)-12</f>
        <v>-0.88436482084690482</v>
      </c>
      <c r="S9" s="11"/>
    </row>
    <row r="10" spans="1:20">
      <c r="A10" s="7">
        <v>2</v>
      </c>
      <c r="B10" s="8" t="s">
        <v>24</v>
      </c>
      <c r="C10" s="9">
        <f>+'[1]2013 m sav pask su MMA1000'!C10</f>
        <v>49.33</v>
      </c>
      <c r="D10" s="9">
        <f>+'[1]2013 m sav pask su MMA1000'!D10</f>
        <v>-12.05</v>
      </c>
      <c r="E10" s="9">
        <f>+'[1]2013 m sav pask su MMA1000'!E10</f>
        <v>37.28</v>
      </c>
      <c r="F10" s="10">
        <v>490.3</v>
      </c>
      <c r="G10" s="10">
        <f>+'[1]2013 m sav pask su MMA1000'!F10</f>
        <v>618.19999999999993</v>
      </c>
      <c r="H10" s="10">
        <f>+'[1]2013 m sav pask su MMA1000'!G10</f>
        <v>616.9</v>
      </c>
      <c r="I10" s="10">
        <f t="shared" ref="I10:I73" si="5">+(H10*100/G10)-100</f>
        <v>-0.21028793270785684</v>
      </c>
      <c r="J10" s="10">
        <f t="shared" ref="J10:J73" si="6">+H10-G10</f>
        <v>-1.2999999999999545</v>
      </c>
      <c r="K10" s="10">
        <f t="shared" si="0"/>
        <v>51.408333333333331</v>
      </c>
      <c r="L10" s="10">
        <f t="shared" si="1"/>
        <v>571.5</v>
      </c>
      <c r="M10" s="10">
        <f t="shared" ref="M10:M73" si="7">+L10/12</f>
        <v>47.625</v>
      </c>
      <c r="N10" s="10">
        <f t="shared" si="2"/>
        <v>16.561289006730576</v>
      </c>
      <c r="O10" s="10">
        <f t="shared" si="3"/>
        <v>81.199999999999989</v>
      </c>
      <c r="P10" s="10"/>
      <c r="Q10" s="10">
        <f t="shared" ref="Q10:Q19" si="8">+L10-H10</f>
        <v>-45.399999999999977</v>
      </c>
      <c r="R10" s="10">
        <f t="shared" si="4"/>
        <v>-0.88312530393904964</v>
      </c>
      <c r="T10" s="12"/>
    </row>
    <row r="11" spans="1:20">
      <c r="A11" s="7">
        <v>3</v>
      </c>
      <c r="B11" s="8" t="s">
        <v>25</v>
      </c>
      <c r="C11" s="9">
        <f>+'[1]2013 m sav pask su MMA1000'!C11</f>
        <v>36.65</v>
      </c>
      <c r="D11" s="9">
        <f>+'[1]2013 m sav pask su MMA1000'!D11</f>
        <v>-9.2899999999999991</v>
      </c>
      <c r="E11" s="9">
        <f>+'[1]2013 m sav pask su MMA1000'!E11</f>
        <v>27.36</v>
      </c>
      <c r="F11" s="10">
        <v>321.7</v>
      </c>
      <c r="G11" s="10">
        <f>+'[1]2013 m sav pask su MMA1000'!F11</f>
        <v>406.9</v>
      </c>
      <c r="H11" s="10">
        <f>+'[1]2013 m sav pask su MMA1000'!G11</f>
        <v>403.7</v>
      </c>
      <c r="I11" s="10">
        <f t="shared" si="5"/>
        <v>-0.78643401327106233</v>
      </c>
      <c r="J11" s="10">
        <f t="shared" si="6"/>
        <v>-3.1999999999999886</v>
      </c>
      <c r="K11" s="10">
        <f t="shared" si="0"/>
        <v>33.641666666666666</v>
      </c>
      <c r="L11" s="10">
        <f t="shared" si="1"/>
        <v>374</v>
      </c>
      <c r="M11" s="10">
        <f t="shared" si="7"/>
        <v>31.166666666666668</v>
      </c>
      <c r="N11" s="10">
        <f t="shared" si="2"/>
        <v>16.257382654647188</v>
      </c>
      <c r="O11" s="10">
        <f t="shared" si="3"/>
        <v>52.300000000000011</v>
      </c>
      <c r="P11" s="10"/>
      <c r="Q11" s="10">
        <f t="shared" si="8"/>
        <v>-29.699999999999989</v>
      </c>
      <c r="R11" s="10">
        <f t="shared" si="4"/>
        <v>-0.88283378746593932</v>
      </c>
    </row>
    <row r="12" spans="1:20">
      <c r="A12" s="7">
        <v>4</v>
      </c>
      <c r="B12" s="8" t="s">
        <v>26</v>
      </c>
      <c r="C12" s="9">
        <f>+'[1]2013 m sav pask su MMA1000'!C12</f>
        <v>39.43</v>
      </c>
      <c r="D12" s="9">
        <f>+'[1]2013 m sav pask su MMA1000'!D12</f>
        <v>-11.28</v>
      </c>
      <c r="E12" s="9">
        <f>+'[1]2013 m sav pask su MMA1000'!E12</f>
        <v>28.15</v>
      </c>
      <c r="F12" s="10">
        <v>344.4</v>
      </c>
      <c r="G12" s="10">
        <f>+'[1]2013 m sav pask su MMA1000'!F12</f>
        <v>426.29999999999995</v>
      </c>
      <c r="H12" s="10">
        <f>+'[1]2013 m sav pask su MMA1000'!G12</f>
        <v>433.9</v>
      </c>
      <c r="I12" s="10">
        <f t="shared" si="5"/>
        <v>1.782782078348589</v>
      </c>
      <c r="J12" s="10">
        <f t="shared" si="6"/>
        <v>7.6000000000000227</v>
      </c>
      <c r="K12" s="10">
        <f t="shared" si="0"/>
        <v>36.158333333333331</v>
      </c>
      <c r="L12" s="10">
        <f t="shared" si="1"/>
        <v>402</v>
      </c>
      <c r="M12" s="10">
        <f t="shared" si="7"/>
        <v>33.5</v>
      </c>
      <c r="N12" s="10">
        <f t="shared" si="2"/>
        <v>16.724738675958193</v>
      </c>
      <c r="O12" s="10">
        <f t="shared" si="3"/>
        <v>57.600000000000023</v>
      </c>
      <c r="P12" s="10"/>
      <c r="Q12" s="10">
        <f t="shared" si="8"/>
        <v>-31.899999999999977</v>
      </c>
      <c r="R12" s="10">
        <f t="shared" si="4"/>
        <v>-0.88223092878543419</v>
      </c>
    </row>
    <row r="13" spans="1:20">
      <c r="A13" s="7">
        <v>5</v>
      </c>
      <c r="B13" s="8" t="s">
        <v>27</v>
      </c>
      <c r="C13" s="9">
        <f>+'[1]2013 m sav pask su MMA1000'!C13</f>
        <v>46.65</v>
      </c>
      <c r="D13" s="9">
        <f>+'[1]2013 m sav pask su MMA1000'!D13</f>
        <v>-15</v>
      </c>
      <c r="E13" s="9">
        <f>+'[1]2013 m sav pask su MMA1000'!E13</f>
        <v>31.65</v>
      </c>
      <c r="F13" s="10">
        <v>407.4</v>
      </c>
      <c r="G13" s="10">
        <f>+'[1]2013 m sav pask su MMA1000'!F13</f>
        <v>476.9</v>
      </c>
      <c r="H13" s="10">
        <f>+'[1]2013 m sav pask su MMA1000'!G13</f>
        <v>478.9</v>
      </c>
      <c r="I13" s="10">
        <f t="shared" si="5"/>
        <v>0.41937513105473556</v>
      </c>
      <c r="J13" s="10">
        <f t="shared" si="6"/>
        <v>2</v>
      </c>
      <c r="K13" s="10">
        <f t="shared" si="0"/>
        <v>39.908333333333331</v>
      </c>
      <c r="L13" s="10">
        <f t="shared" si="1"/>
        <v>443.6</v>
      </c>
      <c r="M13" s="10">
        <f t="shared" si="7"/>
        <v>36.966666666666669</v>
      </c>
      <c r="N13" s="10">
        <f t="shared" si="2"/>
        <v>8.8856161021109585</v>
      </c>
      <c r="O13" s="10">
        <f t="shared" si="3"/>
        <v>36.200000000000045</v>
      </c>
      <c r="P13" s="10"/>
      <c r="Q13" s="10">
        <f t="shared" si="8"/>
        <v>-35.299999999999955</v>
      </c>
      <c r="R13" s="10">
        <f t="shared" si="4"/>
        <v>-0.88452704113593583</v>
      </c>
    </row>
    <row r="14" spans="1:20">
      <c r="A14" s="7">
        <v>6</v>
      </c>
      <c r="B14" s="8" t="s">
        <v>28</v>
      </c>
      <c r="C14" s="9">
        <f>+'[1]2013 m sav pask su MMA1000'!C14</f>
        <v>50.49</v>
      </c>
      <c r="D14" s="9">
        <f>+'[1]2013 m sav pask su MMA1000'!D14</f>
        <v>-11.41</v>
      </c>
      <c r="E14" s="9">
        <f>+'[1]2013 m sav pask su MMA1000'!E14</f>
        <v>39.08</v>
      </c>
      <c r="F14" s="10">
        <v>546.1</v>
      </c>
      <c r="G14" s="10">
        <f>+'[1]2013 m sav pask su MMA1000'!F14</f>
        <v>642.29999999999995</v>
      </c>
      <c r="H14" s="10">
        <f>+'[1]2013 m sav pask su MMA1000'!G14</f>
        <v>645.5</v>
      </c>
      <c r="I14" s="10">
        <f t="shared" si="5"/>
        <v>0.49820955939593148</v>
      </c>
      <c r="J14" s="10">
        <f t="shared" si="6"/>
        <v>3.2000000000000455</v>
      </c>
      <c r="K14" s="10">
        <f t="shared" si="0"/>
        <v>53.791666666666664</v>
      </c>
      <c r="L14" s="10">
        <f t="shared" si="1"/>
        <v>598</v>
      </c>
      <c r="M14" s="10">
        <f t="shared" si="7"/>
        <v>49.833333333333336</v>
      </c>
      <c r="N14" s="10">
        <f t="shared" si="2"/>
        <v>9.5037538912287118</v>
      </c>
      <c r="O14" s="10">
        <f t="shared" si="3"/>
        <v>51.899999999999977</v>
      </c>
      <c r="P14" s="10"/>
      <c r="Q14" s="10">
        <f t="shared" si="8"/>
        <v>-47.5</v>
      </c>
      <c r="R14" s="10">
        <f t="shared" si="4"/>
        <v>-0.88303640588690868</v>
      </c>
    </row>
    <row r="15" spans="1:20">
      <c r="A15" s="7">
        <v>7</v>
      </c>
      <c r="B15" s="8" t="s">
        <v>29</v>
      </c>
      <c r="C15" s="9">
        <f>+'[1]2013 m sav pask su MMA1000'!C15</f>
        <v>47.9</v>
      </c>
      <c r="D15" s="9">
        <f>+'[1]2013 m sav pask su MMA1000'!D15</f>
        <v>-13.72</v>
      </c>
      <c r="E15" s="9">
        <f>+'[1]2013 m sav pask su MMA1000'!E15</f>
        <v>34.18</v>
      </c>
      <c r="F15" s="10">
        <v>423.4</v>
      </c>
      <c r="G15" s="10">
        <f>+'[1]2013 m sav pask su MMA1000'!F15</f>
        <v>505.59999999999997</v>
      </c>
      <c r="H15" s="10">
        <f>+'[1]2013 m sav pask su MMA1000'!G15</f>
        <v>513.4</v>
      </c>
      <c r="I15" s="10">
        <f t="shared" si="5"/>
        <v>1.5427215189873493</v>
      </c>
      <c r="J15" s="10">
        <f t="shared" si="6"/>
        <v>7.8000000000000114</v>
      </c>
      <c r="K15" s="10">
        <f t="shared" si="0"/>
        <v>42.783333333333331</v>
      </c>
      <c r="L15" s="10">
        <f t="shared" si="1"/>
        <v>475.6</v>
      </c>
      <c r="M15" s="10">
        <f t="shared" si="7"/>
        <v>39.633333333333333</v>
      </c>
      <c r="N15" s="10">
        <f t="shared" si="2"/>
        <v>12.328767123287676</v>
      </c>
      <c r="O15" s="10">
        <f t="shared" si="3"/>
        <v>52.200000000000045</v>
      </c>
      <c r="P15" s="10"/>
      <c r="Q15" s="10">
        <f t="shared" si="8"/>
        <v>-37.799999999999955</v>
      </c>
      <c r="R15" s="10">
        <f t="shared" si="4"/>
        <v>-0.88352162056875549</v>
      </c>
    </row>
    <row r="16" spans="1:20">
      <c r="A16" s="7">
        <v>8</v>
      </c>
      <c r="B16" s="8" t="s">
        <v>30</v>
      </c>
      <c r="C16" s="9">
        <f>+'[1]2013 m sav pask su MMA1000'!C17</f>
        <v>23.93</v>
      </c>
      <c r="D16" s="9">
        <f>+'[1]2013 m sav pask su MMA1000'!D17</f>
        <v>-6.3</v>
      </c>
      <c r="E16" s="9">
        <f>+'[1]2013 m sav pask su MMA1000'!E17</f>
        <v>17.63</v>
      </c>
      <c r="F16" s="10">
        <v>217.2</v>
      </c>
      <c r="G16" s="10">
        <f>+'[1]2013 m sav pask su MMA1000'!F17</f>
        <v>269.3</v>
      </c>
      <c r="H16" s="10">
        <f>+'[1]2013 m sav pask su MMA1000'!G17</f>
        <v>271.10000000000002</v>
      </c>
      <c r="I16" s="10">
        <f t="shared" si="5"/>
        <v>0.66839955440030963</v>
      </c>
      <c r="J16" s="10">
        <f t="shared" si="6"/>
        <v>1.8000000000000114</v>
      </c>
      <c r="K16" s="10">
        <f t="shared" si="0"/>
        <v>22.591666666666669</v>
      </c>
      <c r="L16" s="10">
        <f t="shared" si="1"/>
        <v>251.1</v>
      </c>
      <c r="M16" s="10">
        <f t="shared" si="7"/>
        <v>20.925000000000001</v>
      </c>
      <c r="N16" s="10">
        <f t="shared" si="2"/>
        <v>15.607734806629836</v>
      </c>
      <c r="O16" s="10">
        <f t="shared" si="3"/>
        <v>33.900000000000006</v>
      </c>
      <c r="P16" s="10"/>
      <c r="Q16" s="10">
        <f t="shared" si="8"/>
        <v>-20.000000000000028</v>
      </c>
      <c r="R16" s="10">
        <f t="shared" si="4"/>
        <v>-0.88528218369605405</v>
      </c>
    </row>
    <row r="17" spans="1:18">
      <c r="A17" s="7">
        <v>9</v>
      </c>
      <c r="B17" s="8" t="s">
        <v>31</v>
      </c>
      <c r="C17" s="9">
        <f>+'[1]2013 m sav pask su MMA1000'!C18</f>
        <v>30</v>
      </c>
      <c r="D17" s="9">
        <f>+'[1]2013 m sav pask su MMA1000'!D18</f>
        <v>-7.35</v>
      </c>
      <c r="E17" s="9">
        <f>+'[1]2013 m sav pask su MMA1000'!E18</f>
        <v>22.65</v>
      </c>
      <c r="F17" s="10">
        <v>272.89999999999998</v>
      </c>
      <c r="G17" s="10">
        <f>+'[1]2013 m sav pask su MMA1000'!F18</f>
        <v>349.9</v>
      </c>
      <c r="H17" s="10">
        <f>+'[1]2013 m sav pask su MMA1000'!G18</f>
        <v>350.09999999999997</v>
      </c>
      <c r="I17" s="10">
        <f t="shared" si="5"/>
        <v>5.7159188339525713E-2</v>
      </c>
      <c r="J17" s="10">
        <f t="shared" si="6"/>
        <v>0.19999999999998863</v>
      </c>
      <c r="K17" s="10">
        <f t="shared" si="0"/>
        <v>29.174999999999997</v>
      </c>
      <c r="L17" s="10">
        <f t="shared" si="1"/>
        <v>324.3</v>
      </c>
      <c r="M17" s="10">
        <f t="shared" si="7"/>
        <v>27.025000000000002</v>
      </c>
      <c r="N17" s="10">
        <f t="shared" si="2"/>
        <v>18.834737999267148</v>
      </c>
      <c r="O17" s="10">
        <f t="shared" si="3"/>
        <v>51.400000000000034</v>
      </c>
      <c r="P17" s="10"/>
      <c r="Q17" s="10">
        <f t="shared" si="8"/>
        <v>-25.799999999999955</v>
      </c>
      <c r="R17" s="10">
        <f t="shared" si="4"/>
        <v>-0.88431876606683701</v>
      </c>
    </row>
    <row r="18" spans="1:18">
      <c r="A18" s="7">
        <v>10</v>
      </c>
      <c r="B18" s="8" t="s">
        <v>32</v>
      </c>
      <c r="C18" s="9">
        <f>+'[1]2013 m sav pask su MMA1000'!C19</f>
        <v>20.5</v>
      </c>
      <c r="D18" s="9">
        <f>+'[1]2013 m sav pask su MMA1000'!D19</f>
        <v>-5.0199999999999996</v>
      </c>
      <c r="E18" s="9">
        <f>+'[1]2013 m sav pask su MMA1000'!E19</f>
        <v>15.48</v>
      </c>
      <c r="F18" s="10">
        <v>199.9</v>
      </c>
      <c r="G18" s="10">
        <f>+'[1]2013 m sav pask su MMA1000'!F19</f>
        <v>233.9</v>
      </c>
      <c r="H18" s="10">
        <f>+'[1]2013 m sav pask su MMA1000'!G19</f>
        <v>234.79999999999998</v>
      </c>
      <c r="I18" s="10">
        <f t="shared" si="5"/>
        <v>0.38477982043607994</v>
      </c>
      <c r="J18" s="10">
        <f t="shared" si="6"/>
        <v>0.89999999999997726</v>
      </c>
      <c r="K18" s="10">
        <f t="shared" si="0"/>
        <v>19.566666666666666</v>
      </c>
      <c r="L18" s="10">
        <f t="shared" si="1"/>
        <v>217.5</v>
      </c>
      <c r="M18" s="10">
        <f t="shared" si="7"/>
        <v>18.125</v>
      </c>
      <c r="N18" s="10">
        <f t="shared" si="2"/>
        <v>8.8044022011005438</v>
      </c>
      <c r="O18" s="10">
        <f t="shared" si="3"/>
        <v>17.599999999999994</v>
      </c>
      <c r="P18" s="10"/>
      <c r="Q18" s="10">
        <f t="shared" si="8"/>
        <v>-17.299999999999983</v>
      </c>
      <c r="R18" s="10">
        <f t="shared" si="4"/>
        <v>-0.88415672913117582</v>
      </c>
    </row>
    <row r="19" spans="1:18">
      <c r="A19" s="7">
        <v>11</v>
      </c>
      <c r="B19" s="8" t="s">
        <v>33</v>
      </c>
      <c r="C19" s="9">
        <f>+'[1]2013 m sav pask su MMA1000'!C21</f>
        <v>36.5</v>
      </c>
      <c r="D19" s="9">
        <f>+'[1]2013 m sav pask su MMA1000'!D21</f>
        <v>-10.39</v>
      </c>
      <c r="E19" s="9">
        <f>+'[1]2013 m sav pask su MMA1000'!E21</f>
        <v>26.11</v>
      </c>
      <c r="F19" s="10">
        <v>310.8</v>
      </c>
      <c r="G19" s="10">
        <f>+'[1]2013 m sav pask su MMA1000'!F21</f>
        <v>395.20000000000005</v>
      </c>
      <c r="H19" s="10">
        <f>+'[1]2013 m sav pask su MMA1000'!G21</f>
        <v>394.6</v>
      </c>
      <c r="I19" s="10">
        <f t="shared" si="5"/>
        <v>-0.15182186234818573</v>
      </c>
      <c r="J19" s="10">
        <f t="shared" si="6"/>
        <v>-0.60000000000002274</v>
      </c>
      <c r="K19" s="10">
        <f t="shared" si="0"/>
        <v>32.883333333333333</v>
      </c>
      <c r="L19" s="10">
        <f t="shared" si="1"/>
        <v>365.5</v>
      </c>
      <c r="M19" s="10">
        <f t="shared" si="7"/>
        <v>30.458333333333332</v>
      </c>
      <c r="N19" s="10">
        <f t="shared" si="2"/>
        <v>17.599742599742598</v>
      </c>
      <c r="O19" s="10">
        <f t="shared" si="3"/>
        <v>54.699999999999989</v>
      </c>
      <c r="P19" s="10"/>
      <c r="Q19" s="10">
        <f t="shared" si="8"/>
        <v>-29.100000000000023</v>
      </c>
      <c r="R19" s="10">
        <f t="shared" si="4"/>
        <v>-0.88494678155093709</v>
      </c>
    </row>
    <row r="20" spans="1:18">
      <c r="A20" s="7">
        <v>12</v>
      </c>
      <c r="B20" s="13" t="s">
        <v>34</v>
      </c>
      <c r="C20" s="14">
        <f t="shared" ref="C20:M20" si="9">SUM(C9:C19)</f>
        <v>423.89</v>
      </c>
      <c r="D20" s="14">
        <f t="shared" si="9"/>
        <v>-113.79999999999998</v>
      </c>
      <c r="E20" s="14">
        <f t="shared" si="9"/>
        <v>310.09000000000003</v>
      </c>
      <c r="F20" s="14">
        <f t="shared" si="9"/>
        <v>3951.1000000000004</v>
      </c>
      <c r="G20" s="14">
        <f t="shared" si="9"/>
        <v>4810.5999999999995</v>
      </c>
      <c r="H20" s="15">
        <f>SUM(H9:H19)</f>
        <v>4834.1000000000004</v>
      </c>
      <c r="I20" s="15">
        <f t="shared" si="5"/>
        <v>0.48850455244669888</v>
      </c>
      <c r="J20" s="15">
        <f>SUM(J9:J19)</f>
        <v>23.500000000000114</v>
      </c>
      <c r="K20" s="15">
        <f t="shared" si="9"/>
        <v>402.8416666666667</v>
      </c>
      <c r="L20" s="15">
        <f t="shared" si="9"/>
        <v>4478.1000000000004</v>
      </c>
      <c r="M20" s="15">
        <f t="shared" si="9"/>
        <v>373.17499999999995</v>
      </c>
      <c r="N20" s="15">
        <f t="shared" si="2"/>
        <v>13.33805775606794</v>
      </c>
      <c r="O20" s="15">
        <f>SUM(O9:O19)</f>
        <v>527</v>
      </c>
      <c r="P20" s="15"/>
      <c r="Q20" s="15">
        <f>SUM(Q9:Q19)</f>
        <v>-355.99999999999977</v>
      </c>
      <c r="R20" s="15">
        <f t="shared" si="4"/>
        <v>-0.88372189238948273</v>
      </c>
    </row>
    <row r="21" spans="1:18">
      <c r="A21" s="7">
        <v>13</v>
      </c>
      <c r="B21" s="8" t="s">
        <v>35</v>
      </c>
      <c r="C21" s="9">
        <f>+'[1]2013 m sav pask su MMA1000'!C23</f>
        <v>41.5</v>
      </c>
      <c r="D21" s="9">
        <f>+'[1]2013 m sav pask su MMA1000'!D23</f>
        <v>-11</v>
      </c>
      <c r="E21" s="9">
        <f>+'[1]2013 m sav pask su MMA1000'!E23</f>
        <v>30.5</v>
      </c>
      <c r="F21" s="10">
        <v>354.5</v>
      </c>
      <c r="G21" s="10">
        <f>+'[1]2013 m sav pask su MMA1000'!F23</f>
        <v>434.5</v>
      </c>
      <c r="H21" s="10">
        <f>+'[1]2013 m sav pask su MMA1000'!G23</f>
        <v>403.09999999999997</v>
      </c>
      <c r="I21" s="10">
        <f t="shared" si="5"/>
        <v>-7.2266973532796328</v>
      </c>
      <c r="J21" s="10">
        <f t="shared" si="6"/>
        <v>-31.400000000000034</v>
      </c>
      <c r="K21" s="10">
        <f t="shared" ref="K21:K45" si="10">+H21/12</f>
        <v>33.591666666666661</v>
      </c>
      <c r="L21" s="10">
        <f t="shared" ref="L21:L45" si="11">+ROUND(H21*0.92638,1)</f>
        <v>373.4</v>
      </c>
      <c r="M21" s="10">
        <f t="shared" si="7"/>
        <v>31.116666666666664</v>
      </c>
      <c r="N21" s="10">
        <f t="shared" si="2"/>
        <v>5.3314527503526108</v>
      </c>
      <c r="O21" s="10">
        <f t="shared" ref="O21:O45" si="12">+L21-F21</f>
        <v>18.899999999999977</v>
      </c>
      <c r="P21" s="10"/>
      <c r="Q21" s="10">
        <f t="shared" ref="Q21:Q45" si="13">+L21-H21</f>
        <v>-29.699999999999989</v>
      </c>
      <c r="R21" s="10">
        <f t="shared" si="4"/>
        <v>-0.88414785413048769</v>
      </c>
    </row>
    <row r="22" spans="1:18">
      <c r="A22" s="7">
        <v>14</v>
      </c>
      <c r="B22" s="8" t="s">
        <v>36</v>
      </c>
      <c r="C22" s="9">
        <f>+'[1]2013 m sav pask su MMA1000'!C24</f>
        <v>27.85</v>
      </c>
      <c r="D22" s="9">
        <f>+'[1]2013 m sav pask su MMA1000'!D24</f>
        <v>-8.5</v>
      </c>
      <c r="E22" s="9">
        <f>+'[1]2013 m sav pask su MMA1000'!E24</f>
        <v>19.350000000000001</v>
      </c>
      <c r="F22" s="10">
        <v>206.4</v>
      </c>
      <c r="G22" s="10">
        <f>+'[1]2013 m sav pask su MMA1000'!F24</f>
        <v>271.5</v>
      </c>
      <c r="H22" s="10">
        <f>+'[1]2013 m sav pask su MMA1000'!G24</f>
        <v>246.60000000000002</v>
      </c>
      <c r="I22" s="10">
        <f t="shared" si="5"/>
        <v>-9.1712707182320372</v>
      </c>
      <c r="J22" s="10">
        <f t="shared" si="6"/>
        <v>-24.899999999999977</v>
      </c>
      <c r="K22" s="10">
        <f t="shared" si="10"/>
        <v>20.55</v>
      </c>
      <c r="L22" s="10">
        <f t="shared" si="11"/>
        <v>228.4</v>
      </c>
      <c r="M22" s="10">
        <f t="shared" si="7"/>
        <v>19.033333333333335</v>
      </c>
      <c r="N22" s="10">
        <f t="shared" si="2"/>
        <v>10.658914728682163</v>
      </c>
      <c r="O22" s="10">
        <f t="shared" si="12"/>
        <v>22</v>
      </c>
      <c r="P22" s="10"/>
      <c r="Q22" s="10">
        <f t="shared" si="13"/>
        <v>-18.200000000000017</v>
      </c>
      <c r="R22" s="10">
        <f t="shared" si="4"/>
        <v>-0.88564476885644794</v>
      </c>
    </row>
    <row r="23" spans="1:18">
      <c r="A23" s="7">
        <v>15</v>
      </c>
      <c r="B23" s="8" t="s">
        <v>37</v>
      </c>
      <c r="C23" s="9">
        <f>+'[1]2013 m sav pask su MMA1000'!C25</f>
        <v>43.5</v>
      </c>
      <c r="D23" s="9">
        <f>+'[1]2013 m sav pask su MMA1000'!D25</f>
        <v>-12.25</v>
      </c>
      <c r="E23" s="9">
        <f>+'[1]2013 m sav pask su MMA1000'!E25</f>
        <v>31.25</v>
      </c>
      <c r="F23" s="10">
        <v>319.8</v>
      </c>
      <c r="G23" s="10">
        <f>+'[1]2013 m sav pask su MMA1000'!F25</f>
        <v>410.79999999999995</v>
      </c>
      <c r="H23" s="10">
        <f>+'[1]2013 m sav pask su MMA1000'!G25</f>
        <v>404.4</v>
      </c>
      <c r="I23" s="10">
        <f t="shared" si="5"/>
        <v>-1.5579357351509202</v>
      </c>
      <c r="J23" s="10">
        <f t="shared" si="6"/>
        <v>-6.3999999999999773</v>
      </c>
      <c r="K23" s="10">
        <f t="shared" si="10"/>
        <v>33.699999999999996</v>
      </c>
      <c r="L23" s="10">
        <f t="shared" si="11"/>
        <v>374.6</v>
      </c>
      <c r="M23" s="10">
        <f t="shared" si="7"/>
        <v>31.216666666666669</v>
      </c>
      <c r="N23" s="10">
        <f t="shared" si="2"/>
        <v>17.135709818636641</v>
      </c>
      <c r="O23" s="10">
        <f t="shared" si="12"/>
        <v>54.800000000000011</v>
      </c>
      <c r="P23" s="10"/>
      <c r="Q23" s="10">
        <f t="shared" si="13"/>
        <v>-29.799999999999955</v>
      </c>
      <c r="R23" s="10">
        <f t="shared" si="4"/>
        <v>-0.88427299703263884</v>
      </c>
    </row>
    <row r="24" spans="1:18">
      <c r="A24" s="7">
        <v>16</v>
      </c>
      <c r="B24" s="8" t="s">
        <v>38</v>
      </c>
      <c r="C24" s="9">
        <f>+'[1]2013 m sav pask su MMA1000'!C26</f>
        <v>34.25</v>
      </c>
      <c r="D24" s="9">
        <f>+'[1]2013 m sav pask su MMA1000'!D26</f>
        <v>-10.81</v>
      </c>
      <c r="E24" s="9">
        <f>+'[1]2013 m sav pask su MMA1000'!E26</f>
        <v>23.439999999999998</v>
      </c>
      <c r="F24" s="10">
        <v>262</v>
      </c>
      <c r="G24" s="10">
        <f>+'[1]2013 m sav pask su MMA1000'!F26</f>
        <v>323.2</v>
      </c>
      <c r="H24" s="10">
        <f>+'[1]2013 m sav pask su MMA1000'!G26</f>
        <v>316.7</v>
      </c>
      <c r="I24" s="10">
        <f t="shared" si="5"/>
        <v>-2.0111386138613767</v>
      </c>
      <c r="J24" s="10">
        <f t="shared" si="6"/>
        <v>-6.5</v>
      </c>
      <c r="K24" s="10">
        <f t="shared" si="10"/>
        <v>26.391666666666666</v>
      </c>
      <c r="L24" s="10">
        <f t="shared" si="11"/>
        <v>293.39999999999998</v>
      </c>
      <c r="M24" s="10">
        <f t="shared" si="7"/>
        <v>24.45</v>
      </c>
      <c r="N24" s="10">
        <f t="shared" si="2"/>
        <v>11.984732824427468</v>
      </c>
      <c r="O24" s="10">
        <f t="shared" si="12"/>
        <v>31.399999999999977</v>
      </c>
      <c r="P24" s="10"/>
      <c r="Q24" s="10">
        <f t="shared" si="13"/>
        <v>-23.300000000000011</v>
      </c>
      <c r="R24" s="10">
        <f t="shared" si="4"/>
        <v>-0.88285443637511918</v>
      </c>
    </row>
    <row r="25" spans="1:18">
      <c r="A25" s="7">
        <v>17</v>
      </c>
      <c r="B25" s="8" t="s">
        <v>39</v>
      </c>
      <c r="C25" s="9">
        <f>+'[1]2013 m sav pask su MMA1000'!C27</f>
        <v>61.75</v>
      </c>
      <c r="D25" s="9">
        <f>+'[1]2013 m sav pask su MMA1000'!D27</f>
        <v>-13.5</v>
      </c>
      <c r="E25" s="9">
        <f>+'[1]2013 m sav pask su MMA1000'!E27</f>
        <v>48.25</v>
      </c>
      <c r="F25" s="10">
        <v>458.2</v>
      </c>
      <c r="G25" s="10">
        <f>+'[1]2013 m sav pask su MMA1000'!F27</f>
        <v>613.29999999999995</v>
      </c>
      <c r="H25" s="10">
        <f>+'[1]2013 m sav pask su MMA1000'!G27</f>
        <v>594.5</v>
      </c>
      <c r="I25" s="10">
        <f t="shared" si="5"/>
        <v>-3.0653839882602227</v>
      </c>
      <c r="J25" s="10">
        <f t="shared" si="6"/>
        <v>-18.799999999999955</v>
      </c>
      <c r="K25" s="10">
        <f t="shared" si="10"/>
        <v>49.541666666666664</v>
      </c>
      <c r="L25" s="10">
        <f t="shared" si="11"/>
        <v>550.70000000000005</v>
      </c>
      <c r="M25" s="10">
        <f t="shared" si="7"/>
        <v>45.891666666666673</v>
      </c>
      <c r="N25" s="10">
        <f t="shared" si="2"/>
        <v>20.187690964644275</v>
      </c>
      <c r="O25" s="10">
        <f t="shared" si="12"/>
        <v>92.500000000000057</v>
      </c>
      <c r="P25" s="10"/>
      <c r="Q25" s="10">
        <f t="shared" si="13"/>
        <v>-43.799999999999955</v>
      </c>
      <c r="R25" s="10">
        <f t="shared" si="4"/>
        <v>-0.88410428931875451</v>
      </c>
    </row>
    <row r="26" spans="1:18">
      <c r="A26" s="7">
        <v>18</v>
      </c>
      <c r="B26" s="8" t="s">
        <v>40</v>
      </c>
      <c r="C26" s="9">
        <f>+'[1]2013 m sav pask su MMA1000'!C28</f>
        <v>33</v>
      </c>
      <c r="D26" s="9">
        <f>+'[1]2013 m sav pask su MMA1000'!D28</f>
        <v>-9.75</v>
      </c>
      <c r="E26" s="9">
        <f>+'[1]2013 m sav pask su MMA1000'!E28</f>
        <v>23.25</v>
      </c>
      <c r="F26" s="10">
        <v>256.60000000000002</v>
      </c>
      <c r="G26" s="10">
        <f>+'[1]2013 m sav pask su MMA1000'!F28</f>
        <v>336.1</v>
      </c>
      <c r="H26" s="10">
        <f>+'[1]2013 m sav pask su MMA1000'!G28</f>
        <v>317.3</v>
      </c>
      <c r="I26" s="10">
        <f t="shared" si="5"/>
        <v>-5.5935733412674864</v>
      </c>
      <c r="J26" s="10">
        <f t="shared" si="6"/>
        <v>-18.800000000000011</v>
      </c>
      <c r="K26" s="10">
        <f t="shared" si="10"/>
        <v>26.441666666666666</v>
      </c>
      <c r="L26" s="10">
        <f t="shared" si="11"/>
        <v>293.89999999999998</v>
      </c>
      <c r="M26" s="10">
        <f t="shared" si="7"/>
        <v>24.491666666666664</v>
      </c>
      <c r="N26" s="10">
        <f t="shared" si="2"/>
        <v>14.536243180046739</v>
      </c>
      <c r="O26" s="10">
        <f t="shared" si="12"/>
        <v>37.299999999999955</v>
      </c>
      <c r="P26" s="10"/>
      <c r="Q26" s="10">
        <f t="shared" si="13"/>
        <v>-23.400000000000034</v>
      </c>
      <c r="R26" s="10">
        <f t="shared" si="4"/>
        <v>-0.88496690828868729</v>
      </c>
    </row>
    <row r="27" spans="1:18" ht="22.5">
      <c r="A27" s="7">
        <v>19</v>
      </c>
      <c r="B27" s="16" t="s">
        <v>41</v>
      </c>
      <c r="C27" s="9">
        <f>+'[1]2013 m sav pask su MMA1000'!C29</f>
        <v>53.75</v>
      </c>
      <c r="D27" s="9">
        <f>+'[1]2013 m sav pask su MMA1000'!D29</f>
        <v>-13.5</v>
      </c>
      <c r="E27" s="9">
        <f>+'[1]2013 m sav pask su MMA1000'!E29</f>
        <v>40.25</v>
      </c>
      <c r="F27" s="10">
        <v>366.9</v>
      </c>
      <c r="G27" s="10">
        <f>+'[1]2013 m sav pask su MMA1000'!F29</f>
        <v>530.1</v>
      </c>
      <c r="H27" s="10">
        <f>+'[1]2013 m sav pask su MMA1000'!G29</f>
        <v>515.29999999999995</v>
      </c>
      <c r="I27" s="10">
        <f t="shared" si="5"/>
        <v>-2.7919260516883782</v>
      </c>
      <c r="J27" s="10">
        <f t="shared" si="6"/>
        <v>-14.800000000000068</v>
      </c>
      <c r="K27" s="10">
        <f t="shared" si="10"/>
        <v>42.941666666666663</v>
      </c>
      <c r="L27" s="10">
        <f t="shared" si="11"/>
        <v>477.4</v>
      </c>
      <c r="M27" s="10">
        <f t="shared" si="7"/>
        <v>39.783333333333331</v>
      </c>
      <c r="N27" s="10">
        <f t="shared" si="2"/>
        <v>30.117198146633967</v>
      </c>
      <c r="O27" s="10">
        <f t="shared" si="12"/>
        <v>110.5</v>
      </c>
      <c r="P27" s="10"/>
      <c r="Q27" s="10">
        <f t="shared" si="13"/>
        <v>-37.899999999999977</v>
      </c>
      <c r="R27" s="10">
        <f t="shared" si="4"/>
        <v>-0.88259266446729967</v>
      </c>
    </row>
    <row r="28" spans="1:18">
      <c r="A28" s="7">
        <v>20</v>
      </c>
      <c r="B28" s="8" t="s">
        <v>42</v>
      </c>
      <c r="C28" s="9">
        <f>+'[1]2013 m sav pask su MMA1000'!C30</f>
        <v>41.25</v>
      </c>
      <c r="D28" s="9">
        <f>+'[1]2013 m sav pask su MMA1000'!D30</f>
        <v>-13</v>
      </c>
      <c r="E28" s="9">
        <f>+'[1]2013 m sav pask su MMA1000'!E30</f>
        <v>28.25</v>
      </c>
      <c r="F28" s="10">
        <v>320.5</v>
      </c>
      <c r="G28" s="10">
        <f>+'[1]2013 m sav pask su MMA1000'!F30</f>
        <v>394.5</v>
      </c>
      <c r="H28" s="10">
        <f>+'[1]2013 m sav pask su MMA1000'!G30</f>
        <v>371.8</v>
      </c>
      <c r="I28" s="10">
        <f t="shared" si="5"/>
        <v>-5.7541191381495622</v>
      </c>
      <c r="J28" s="10">
        <f t="shared" si="6"/>
        <v>-22.699999999999989</v>
      </c>
      <c r="K28" s="10">
        <f t="shared" si="10"/>
        <v>30.983333333333334</v>
      </c>
      <c r="L28" s="10">
        <f t="shared" si="11"/>
        <v>344.4</v>
      </c>
      <c r="M28" s="10">
        <f t="shared" si="7"/>
        <v>28.7</v>
      </c>
      <c r="N28" s="10">
        <f t="shared" si="2"/>
        <v>7.4570982839313587</v>
      </c>
      <c r="O28" s="10">
        <f t="shared" si="12"/>
        <v>23.899999999999977</v>
      </c>
      <c r="P28" s="10"/>
      <c r="Q28" s="10">
        <f t="shared" si="13"/>
        <v>-27.400000000000034</v>
      </c>
      <c r="R28" s="10">
        <f t="shared" si="4"/>
        <v>-0.88434642280796183</v>
      </c>
    </row>
    <row r="29" spans="1:18">
      <c r="A29" s="7">
        <v>21</v>
      </c>
      <c r="B29" s="8" t="s">
        <v>43</v>
      </c>
      <c r="C29" s="9">
        <f>+'[1]2013 m sav pask su MMA1000'!C31</f>
        <v>65.27</v>
      </c>
      <c r="D29" s="9">
        <f>+'[1]2013 m sav pask su MMA1000'!D31</f>
        <v>-19.399999999999999</v>
      </c>
      <c r="E29" s="9">
        <f>+'[1]2013 m sav pask su MMA1000'!E31</f>
        <v>45.87</v>
      </c>
      <c r="F29" s="10">
        <v>365.7</v>
      </c>
      <c r="G29" s="10">
        <f>+'[1]2013 m sav pask su MMA1000'!F31</f>
        <v>658.3</v>
      </c>
      <c r="H29" s="10">
        <f>+'[1]2013 m sav pask su MMA1000'!G31</f>
        <v>624.99999999999989</v>
      </c>
      <c r="I29" s="10">
        <f t="shared" si="5"/>
        <v>-5.0584839738721143</v>
      </c>
      <c r="J29" s="10">
        <f t="shared" si="6"/>
        <v>-33.300000000000068</v>
      </c>
      <c r="K29" s="10">
        <f t="shared" si="10"/>
        <v>52.083333333333321</v>
      </c>
      <c r="L29" s="10">
        <f t="shared" si="11"/>
        <v>579</v>
      </c>
      <c r="M29" s="10">
        <f t="shared" si="7"/>
        <v>48.25</v>
      </c>
      <c r="N29" s="10">
        <f t="shared" si="2"/>
        <v>58.326497128794102</v>
      </c>
      <c r="O29" s="10">
        <f t="shared" si="12"/>
        <v>213.3</v>
      </c>
      <c r="P29" s="10"/>
      <c r="Q29" s="10">
        <f t="shared" si="13"/>
        <v>-45.999999999999886</v>
      </c>
      <c r="R29" s="10">
        <f t="shared" si="4"/>
        <v>-0.88319999999999688</v>
      </c>
    </row>
    <row r="30" spans="1:18">
      <c r="A30" s="7">
        <v>22</v>
      </c>
      <c r="B30" s="8" t="s">
        <v>44</v>
      </c>
      <c r="C30" s="9">
        <f>+'[1]2013 m sav pask su MMA1000'!C32</f>
        <v>22.5</v>
      </c>
      <c r="D30" s="9">
        <f>+'[1]2013 m sav pask su MMA1000'!D32</f>
        <v>-7.25</v>
      </c>
      <c r="E30" s="9">
        <f>+'[1]2013 m sav pask su MMA1000'!E32</f>
        <v>15.25</v>
      </c>
      <c r="F30" s="10">
        <v>231.2</v>
      </c>
      <c r="G30" s="10">
        <f>+'[1]2013 m sav pask su MMA1000'!F32</f>
        <v>240.4</v>
      </c>
      <c r="H30" s="10">
        <f>+'[1]2013 m sav pask su MMA1000'!G32</f>
        <v>221.7</v>
      </c>
      <c r="I30" s="10">
        <f t="shared" si="5"/>
        <v>-7.7787021630615669</v>
      </c>
      <c r="J30" s="10">
        <f t="shared" si="6"/>
        <v>-18.700000000000017</v>
      </c>
      <c r="K30" s="10">
        <f t="shared" si="10"/>
        <v>18.474999999999998</v>
      </c>
      <c r="L30" s="10">
        <f t="shared" si="11"/>
        <v>205.4</v>
      </c>
      <c r="M30" s="10">
        <f t="shared" si="7"/>
        <v>17.116666666666667</v>
      </c>
      <c r="N30" s="10">
        <f t="shared" si="2"/>
        <v>-11.159169550173004</v>
      </c>
      <c r="O30" s="10">
        <f t="shared" si="12"/>
        <v>-25.799999999999983</v>
      </c>
      <c r="P30" s="10"/>
      <c r="Q30" s="10">
        <f t="shared" si="13"/>
        <v>-16.299999999999983</v>
      </c>
      <c r="R30" s="10">
        <f t="shared" si="4"/>
        <v>-0.88227334235453192</v>
      </c>
    </row>
    <row r="31" spans="1:18">
      <c r="A31" s="7">
        <v>23</v>
      </c>
      <c r="B31" s="8" t="s">
        <v>45</v>
      </c>
      <c r="C31" s="9">
        <f>+'[1]2013 m sav pask su MMA1000'!C33</f>
        <v>24.25</v>
      </c>
      <c r="D31" s="9">
        <f>+'[1]2013 m sav pask su MMA1000'!D33</f>
        <v>-5.5</v>
      </c>
      <c r="E31" s="9">
        <f>+'[1]2013 m sav pask su MMA1000'!E33</f>
        <v>18.75</v>
      </c>
      <c r="F31" s="10">
        <v>199.1</v>
      </c>
      <c r="G31" s="10">
        <f>+'[1]2013 m sav pask su MMA1000'!F33</f>
        <v>250.5</v>
      </c>
      <c r="H31" s="10">
        <f>+'[1]2013 m sav pask su MMA1000'!G33</f>
        <v>245.10000000000002</v>
      </c>
      <c r="I31" s="10">
        <f t="shared" si="5"/>
        <v>-2.1556886227544823</v>
      </c>
      <c r="J31" s="10">
        <f t="shared" si="6"/>
        <v>-5.3999999999999773</v>
      </c>
      <c r="K31" s="10">
        <f t="shared" si="10"/>
        <v>20.425000000000001</v>
      </c>
      <c r="L31" s="10">
        <f t="shared" si="11"/>
        <v>227.1</v>
      </c>
      <c r="M31" s="10">
        <f t="shared" si="7"/>
        <v>18.925000000000001</v>
      </c>
      <c r="N31" s="10">
        <f t="shared" si="2"/>
        <v>14.063284781516828</v>
      </c>
      <c r="O31" s="10">
        <f t="shared" si="12"/>
        <v>28</v>
      </c>
      <c r="P31" s="10"/>
      <c r="Q31" s="10">
        <f t="shared" si="13"/>
        <v>-18.000000000000028</v>
      </c>
      <c r="R31" s="10">
        <f t="shared" si="4"/>
        <v>-0.88127294981640247</v>
      </c>
    </row>
    <row r="32" spans="1:18">
      <c r="A32" s="7">
        <v>24</v>
      </c>
      <c r="B32" s="8" t="s">
        <v>46</v>
      </c>
      <c r="C32" s="9">
        <f>+'[1]2013 m sav pask su MMA1000'!C34</f>
        <v>22.75</v>
      </c>
      <c r="D32" s="9">
        <f>+'[1]2013 m sav pask su MMA1000'!D34</f>
        <v>-5.5</v>
      </c>
      <c r="E32" s="9">
        <f>+'[1]2013 m sav pask su MMA1000'!E34</f>
        <v>17.25</v>
      </c>
      <c r="F32" s="10">
        <v>201.2</v>
      </c>
      <c r="G32" s="10">
        <f>+'[1]2013 m sav pask su MMA1000'!F34</f>
        <v>233</v>
      </c>
      <c r="H32" s="10">
        <f>+'[1]2013 m sav pask su MMA1000'!G34</f>
        <v>230.9</v>
      </c>
      <c r="I32" s="10">
        <f t="shared" si="5"/>
        <v>-0.90128755364807489</v>
      </c>
      <c r="J32" s="10">
        <f t="shared" si="6"/>
        <v>-2.0999999999999943</v>
      </c>
      <c r="K32" s="10">
        <f t="shared" si="10"/>
        <v>19.241666666666667</v>
      </c>
      <c r="L32" s="10">
        <f t="shared" si="11"/>
        <v>213.9</v>
      </c>
      <c r="M32" s="10">
        <f t="shared" si="7"/>
        <v>17.824999999999999</v>
      </c>
      <c r="N32" s="10">
        <f t="shared" si="2"/>
        <v>6.3121272365805225</v>
      </c>
      <c r="O32" s="10">
        <f t="shared" si="12"/>
        <v>12.700000000000017</v>
      </c>
      <c r="P32" s="10"/>
      <c r="Q32" s="10">
        <f t="shared" si="13"/>
        <v>-17</v>
      </c>
      <c r="R32" s="10">
        <f t="shared" si="4"/>
        <v>-0.88349935036812433</v>
      </c>
    </row>
    <row r="33" spans="1:19">
      <c r="A33" s="7">
        <v>25</v>
      </c>
      <c r="B33" s="8" t="s">
        <v>47</v>
      </c>
      <c r="C33" s="9">
        <f>+'[1]2013 m sav pask su MMA1000'!C35</f>
        <v>37.369999999999997</v>
      </c>
      <c r="D33" s="9">
        <f>+'[1]2013 m sav pask su MMA1000'!D35</f>
        <v>-10.36</v>
      </c>
      <c r="E33" s="9">
        <f>+'[1]2013 m sav pask su MMA1000'!E35</f>
        <v>27.009999999999998</v>
      </c>
      <c r="F33" s="10">
        <v>252.7</v>
      </c>
      <c r="G33" s="10">
        <f>+'[1]2013 m sav pask su MMA1000'!F35</f>
        <v>400.6</v>
      </c>
      <c r="H33" s="10">
        <f>+'[1]2013 m sav pask su MMA1000'!G35</f>
        <v>398.70000000000005</v>
      </c>
      <c r="I33" s="10">
        <f t="shared" si="5"/>
        <v>-0.47428856714925871</v>
      </c>
      <c r="J33" s="10">
        <f t="shared" si="6"/>
        <v>-1.8999999999999773</v>
      </c>
      <c r="K33" s="10">
        <f t="shared" si="10"/>
        <v>33.225000000000001</v>
      </c>
      <c r="L33" s="10">
        <f t="shared" si="11"/>
        <v>369.3</v>
      </c>
      <c r="M33" s="10">
        <f t="shared" si="7"/>
        <v>30.775000000000002</v>
      </c>
      <c r="N33" s="10">
        <f t="shared" si="2"/>
        <v>46.141669964384647</v>
      </c>
      <c r="O33" s="10">
        <f t="shared" si="12"/>
        <v>116.60000000000002</v>
      </c>
      <c r="P33" s="10"/>
      <c r="Q33" s="10">
        <f t="shared" si="13"/>
        <v>-29.400000000000034</v>
      </c>
      <c r="R33" s="10">
        <f t="shared" si="4"/>
        <v>-0.88487584650112794</v>
      </c>
    </row>
    <row r="34" spans="1:19">
      <c r="A34" s="7">
        <v>26</v>
      </c>
      <c r="B34" s="8" t="s">
        <v>48</v>
      </c>
      <c r="C34" s="9">
        <f>+'[1]2013 m sav pask su MMA1000'!C37</f>
        <v>17.75</v>
      </c>
      <c r="D34" s="9">
        <f>+'[1]2013 m sav pask su MMA1000'!D37</f>
        <v>-5</v>
      </c>
      <c r="E34" s="9">
        <f>+'[1]2013 m sav pask su MMA1000'!E37</f>
        <v>12.75</v>
      </c>
      <c r="F34" s="10">
        <v>128.69999999999999</v>
      </c>
      <c r="G34" s="10">
        <f>+'[1]2013 m sav pask su MMA1000'!F37</f>
        <v>161.5</v>
      </c>
      <c r="H34" s="10">
        <f>+'[1]2013 m sav pask su MMA1000'!G37</f>
        <v>161.1</v>
      </c>
      <c r="I34" s="10">
        <f t="shared" si="5"/>
        <v>-0.24767801857585425</v>
      </c>
      <c r="J34" s="10">
        <f t="shared" si="6"/>
        <v>-0.40000000000000568</v>
      </c>
      <c r="K34" s="10">
        <f t="shared" si="10"/>
        <v>13.424999999999999</v>
      </c>
      <c r="L34" s="10">
        <f t="shared" si="11"/>
        <v>149.19999999999999</v>
      </c>
      <c r="M34" s="10">
        <f t="shared" si="7"/>
        <v>12.433333333333332</v>
      </c>
      <c r="N34" s="10">
        <f t="shared" si="2"/>
        <v>15.928515928515921</v>
      </c>
      <c r="O34" s="10">
        <f t="shared" si="12"/>
        <v>20.5</v>
      </c>
      <c r="P34" s="10"/>
      <c r="Q34" s="10">
        <f t="shared" si="13"/>
        <v>-11.900000000000006</v>
      </c>
      <c r="R34" s="10">
        <f t="shared" si="4"/>
        <v>-0.88640595903165753</v>
      </c>
    </row>
    <row r="35" spans="1:19">
      <c r="A35" s="7">
        <v>27</v>
      </c>
      <c r="B35" s="17" t="s">
        <v>49</v>
      </c>
      <c r="C35" s="9">
        <f>+'[1]2013 m sav pask su MMA1000'!C38</f>
        <v>21</v>
      </c>
      <c r="D35" s="9">
        <f>+'[1]2013 m sav pask su MMA1000'!D38</f>
        <v>-4.5</v>
      </c>
      <c r="E35" s="9">
        <f>+'[1]2013 m sav pask su MMA1000'!E38</f>
        <v>16.5</v>
      </c>
      <c r="F35" s="10">
        <v>186.5</v>
      </c>
      <c r="G35" s="10">
        <f>+'[1]2013 m sav pask su MMA1000'!F38</f>
        <v>217.8</v>
      </c>
      <c r="H35" s="10">
        <f>+'[1]2013 m sav pask su MMA1000'!G38</f>
        <v>207.8</v>
      </c>
      <c r="I35" s="10">
        <f t="shared" si="5"/>
        <v>-4.5913682277318628</v>
      </c>
      <c r="J35" s="10">
        <f t="shared" si="6"/>
        <v>-10</v>
      </c>
      <c r="K35" s="10">
        <f t="shared" si="10"/>
        <v>17.316666666666666</v>
      </c>
      <c r="L35" s="10">
        <f t="shared" si="11"/>
        <v>192.5</v>
      </c>
      <c r="M35" s="10">
        <f t="shared" si="7"/>
        <v>16.041666666666668</v>
      </c>
      <c r="N35" s="10">
        <f t="shared" si="2"/>
        <v>3.2171581769436983</v>
      </c>
      <c r="O35" s="10">
        <f t="shared" si="12"/>
        <v>6</v>
      </c>
      <c r="P35" s="10"/>
      <c r="Q35" s="10">
        <f t="shared" si="13"/>
        <v>-15.300000000000011</v>
      </c>
      <c r="R35" s="10">
        <f t="shared" si="4"/>
        <v>-0.8835418671799804</v>
      </c>
    </row>
    <row r="36" spans="1:19">
      <c r="A36" s="7">
        <v>28</v>
      </c>
      <c r="B36" s="8" t="s">
        <v>50</v>
      </c>
      <c r="C36" s="9">
        <f>+'[1]2013 m sav pask su MMA1000'!C39</f>
        <v>24.5</v>
      </c>
      <c r="D36" s="9">
        <f>+'[1]2013 m sav pask su MMA1000'!D39</f>
        <v>-6.5</v>
      </c>
      <c r="E36" s="9">
        <f>+'[1]2013 m sav pask su MMA1000'!E39</f>
        <v>18</v>
      </c>
      <c r="F36" s="10">
        <v>189.8</v>
      </c>
      <c r="G36" s="10">
        <f>+'[1]2013 m sav pask su MMA1000'!F39</f>
        <v>241.3</v>
      </c>
      <c r="H36" s="10">
        <f>+'[1]2013 m sav pask su MMA1000'!G39</f>
        <v>233.10000000000002</v>
      </c>
      <c r="I36" s="10">
        <f t="shared" si="5"/>
        <v>-3.3982594280977878</v>
      </c>
      <c r="J36" s="10">
        <f t="shared" si="6"/>
        <v>-8.1999999999999886</v>
      </c>
      <c r="K36" s="10">
        <f t="shared" si="10"/>
        <v>19.425000000000001</v>
      </c>
      <c r="L36" s="10">
        <f t="shared" si="11"/>
        <v>215.9</v>
      </c>
      <c r="M36" s="10">
        <f t="shared" si="7"/>
        <v>17.991666666666667</v>
      </c>
      <c r="N36" s="10">
        <f t="shared" si="2"/>
        <v>13.751317175974705</v>
      </c>
      <c r="O36" s="10">
        <f t="shared" si="12"/>
        <v>26.099999999999994</v>
      </c>
      <c r="P36" s="10"/>
      <c r="Q36" s="10">
        <f t="shared" si="13"/>
        <v>-17.200000000000017</v>
      </c>
      <c r="R36" s="10">
        <f t="shared" si="4"/>
        <v>-0.88545688545688606</v>
      </c>
    </row>
    <row r="37" spans="1:19">
      <c r="A37" s="7">
        <v>29</v>
      </c>
      <c r="B37" s="8" t="s">
        <v>51</v>
      </c>
      <c r="C37" s="9">
        <f>+'[1]2013 m sav pask su MMA1000'!C41</f>
        <v>17.75</v>
      </c>
      <c r="D37" s="9">
        <f>+'[1]2013 m sav pask su MMA1000'!D41</f>
        <v>-4.75</v>
      </c>
      <c r="E37" s="9">
        <f>+'[1]2013 m sav pask su MMA1000'!E41</f>
        <v>13</v>
      </c>
      <c r="F37" s="10">
        <v>152</v>
      </c>
      <c r="G37" s="10">
        <f>+'[1]2013 m sav pask su MMA1000'!F41</f>
        <v>194.4</v>
      </c>
      <c r="H37" s="10">
        <f>+'[1]2013 m sav pask su MMA1000'!G41</f>
        <v>188</v>
      </c>
      <c r="I37" s="10">
        <f t="shared" si="5"/>
        <v>-3.2921810699588576</v>
      </c>
      <c r="J37" s="10">
        <f t="shared" si="6"/>
        <v>-6.4000000000000057</v>
      </c>
      <c r="K37" s="10">
        <f t="shared" si="10"/>
        <v>15.666666666666666</v>
      </c>
      <c r="L37" s="10">
        <f t="shared" si="11"/>
        <v>174.2</v>
      </c>
      <c r="M37" s="10">
        <f t="shared" si="7"/>
        <v>14.516666666666666</v>
      </c>
      <c r="N37" s="10">
        <f t="shared" si="2"/>
        <v>14.60526315789474</v>
      </c>
      <c r="O37" s="10">
        <f t="shared" si="12"/>
        <v>22.199999999999989</v>
      </c>
      <c r="P37" s="10"/>
      <c r="Q37" s="10">
        <f t="shared" si="13"/>
        <v>-13.800000000000011</v>
      </c>
      <c r="R37" s="10">
        <f t="shared" si="4"/>
        <v>-0.88085106382978751</v>
      </c>
    </row>
    <row r="38" spans="1:19">
      <c r="A38" s="7">
        <v>30</v>
      </c>
      <c r="B38" s="8" t="s">
        <v>52</v>
      </c>
      <c r="C38" s="9">
        <f>+'[1]2013 m sav pask su MMA1000'!C42</f>
        <v>13.25</v>
      </c>
      <c r="D38" s="9">
        <f>+'[1]2013 m sav pask su MMA1000'!D42</f>
        <v>-5.5</v>
      </c>
      <c r="E38" s="9">
        <f>+'[1]2013 m sav pask su MMA1000'!E42</f>
        <v>7.75</v>
      </c>
      <c r="F38" s="10">
        <v>76.900000000000006</v>
      </c>
      <c r="G38" s="10">
        <f>+'[1]2013 m sav pask su MMA1000'!F42</f>
        <v>99.4</v>
      </c>
      <c r="H38" s="10">
        <f>+'[1]2013 m sav pask su MMA1000'!G42</f>
        <v>94</v>
      </c>
      <c r="I38" s="10">
        <f t="shared" si="5"/>
        <v>-5.4325955734406506</v>
      </c>
      <c r="J38" s="10">
        <f t="shared" si="6"/>
        <v>-5.4000000000000057</v>
      </c>
      <c r="K38" s="10">
        <f t="shared" si="10"/>
        <v>7.833333333333333</v>
      </c>
      <c r="L38" s="10">
        <f t="shared" si="11"/>
        <v>87.1</v>
      </c>
      <c r="M38" s="10">
        <f t="shared" si="7"/>
        <v>7.2583333333333329</v>
      </c>
      <c r="N38" s="10">
        <f t="shared" si="2"/>
        <v>13.263979193758118</v>
      </c>
      <c r="O38" s="10">
        <f t="shared" si="12"/>
        <v>10.199999999999989</v>
      </c>
      <c r="P38" s="10"/>
      <c r="Q38" s="10">
        <f t="shared" si="13"/>
        <v>-6.9000000000000057</v>
      </c>
      <c r="R38" s="10">
        <f t="shared" si="4"/>
        <v>-0.88085106382978751</v>
      </c>
    </row>
    <row r="39" spans="1:19">
      <c r="A39" s="7">
        <v>31</v>
      </c>
      <c r="B39" s="8" t="s">
        <v>53</v>
      </c>
      <c r="C39" s="9">
        <f>+'[1]2013 m sav pask su MMA1000'!C43</f>
        <v>90.21</v>
      </c>
      <c r="D39" s="9">
        <f>+'[1]2013 m sav pask su MMA1000'!D43</f>
        <v>-79.5</v>
      </c>
      <c r="E39" s="9">
        <f>+'[1]2013 m sav pask su MMA1000'!E43</f>
        <v>10.709999999999994</v>
      </c>
      <c r="F39" s="10">
        <v>182.2</v>
      </c>
      <c r="G39" s="10">
        <f>+'[1]2013 m sav pask su MMA1000'!F43</f>
        <v>234.2</v>
      </c>
      <c r="H39" s="10">
        <f>+'[1]2013 m sav pask su MMA1000'!G43</f>
        <v>240.2</v>
      </c>
      <c r="I39" s="10">
        <f t="shared" si="5"/>
        <v>2.5619128949615799</v>
      </c>
      <c r="J39" s="10">
        <f t="shared" si="6"/>
        <v>6</v>
      </c>
      <c r="K39" s="10">
        <f t="shared" si="10"/>
        <v>20.016666666666666</v>
      </c>
      <c r="L39" s="10">
        <f t="shared" si="11"/>
        <v>222.5</v>
      </c>
      <c r="M39" s="10">
        <f t="shared" si="7"/>
        <v>18.541666666666668</v>
      </c>
      <c r="N39" s="10">
        <f t="shared" si="2"/>
        <v>22.118551042810111</v>
      </c>
      <c r="O39" s="10">
        <f t="shared" si="12"/>
        <v>40.300000000000011</v>
      </c>
      <c r="P39" s="10"/>
      <c r="Q39" s="10">
        <f t="shared" si="13"/>
        <v>-17.699999999999989</v>
      </c>
      <c r="R39" s="10">
        <f t="shared" si="4"/>
        <v>-0.88426311407160618</v>
      </c>
    </row>
    <row r="40" spans="1:19">
      <c r="A40" s="7">
        <v>32</v>
      </c>
      <c r="B40" s="8" t="s">
        <v>54</v>
      </c>
      <c r="C40" s="9">
        <f>+'[1]2013 m sav pask su MMA1000'!C44</f>
        <v>22.5</v>
      </c>
      <c r="D40" s="9">
        <f>+'[1]2013 m sav pask su MMA1000'!D44</f>
        <v>-8</v>
      </c>
      <c r="E40" s="9">
        <f>+'[1]2013 m sav pask su MMA1000'!E44</f>
        <v>14.5</v>
      </c>
      <c r="F40" s="10">
        <v>249.8</v>
      </c>
      <c r="G40" s="10">
        <f>+'[1]2013 m sav pask su MMA1000'!F44</f>
        <v>324.20000000000005</v>
      </c>
      <c r="H40" s="10">
        <f>+'[1]2013 m sav pask su MMA1000'!G44</f>
        <v>298.5</v>
      </c>
      <c r="I40" s="10">
        <f t="shared" si="5"/>
        <v>-7.9272054287476976</v>
      </c>
      <c r="J40" s="10">
        <f t="shared" si="6"/>
        <v>-25.700000000000045</v>
      </c>
      <c r="K40" s="10">
        <f t="shared" si="10"/>
        <v>24.875</v>
      </c>
      <c r="L40" s="10">
        <f t="shared" si="11"/>
        <v>276.5</v>
      </c>
      <c r="M40" s="10">
        <f t="shared" si="7"/>
        <v>23.041666666666668</v>
      </c>
      <c r="N40" s="10">
        <f t="shared" si="2"/>
        <v>10.688550840672534</v>
      </c>
      <c r="O40" s="10">
        <f t="shared" si="12"/>
        <v>26.699999999999989</v>
      </c>
      <c r="P40" s="10"/>
      <c r="Q40" s="10">
        <f t="shared" si="13"/>
        <v>-22</v>
      </c>
      <c r="R40" s="10">
        <f t="shared" si="4"/>
        <v>-0.8844221105527641</v>
      </c>
    </row>
    <row r="41" spans="1:19">
      <c r="A41" s="7">
        <v>33</v>
      </c>
      <c r="B41" s="8" t="s">
        <v>55</v>
      </c>
      <c r="C41" s="9">
        <f>+'[1]2013 m sav pask su MMA1000'!C45</f>
        <v>7.25</v>
      </c>
      <c r="D41" s="9">
        <f>+'[1]2013 m sav pask su MMA1000'!D45</f>
        <v>0</v>
      </c>
      <c r="E41" s="9">
        <f>+'[1]2013 m sav pask su MMA1000'!E45</f>
        <v>7.25</v>
      </c>
      <c r="F41" s="10">
        <v>273.39999999999998</v>
      </c>
      <c r="G41" s="10">
        <f>+'[1]2013 m sav pask su MMA1000'!F45</f>
        <v>301.40000000000003</v>
      </c>
      <c r="H41" s="10">
        <f>+'[1]2013 m sav pask su MMA1000'!G45</f>
        <v>300.8</v>
      </c>
      <c r="I41" s="10">
        <f t="shared" si="5"/>
        <v>-0.19907100199071692</v>
      </c>
      <c r="J41" s="10">
        <f t="shared" si="6"/>
        <v>-0.60000000000002274</v>
      </c>
      <c r="K41" s="10">
        <f t="shared" si="10"/>
        <v>25.066666666666666</v>
      </c>
      <c r="L41" s="10">
        <f t="shared" si="11"/>
        <v>278.7</v>
      </c>
      <c r="M41" s="10">
        <f t="shared" si="7"/>
        <v>23.224999999999998</v>
      </c>
      <c r="N41" s="10">
        <f t="shared" si="2"/>
        <v>1.9385515727871336</v>
      </c>
      <c r="O41" s="10">
        <f t="shared" si="12"/>
        <v>5.3000000000000114</v>
      </c>
      <c r="P41" s="10"/>
      <c r="Q41" s="10">
        <f t="shared" si="13"/>
        <v>-22.100000000000023</v>
      </c>
      <c r="R41" s="10">
        <f t="shared" si="4"/>
        <v>-0.88164893617021356</v>
      </c>
    </row>
    <row r="42" spans="1:19">
      <c r="A42" s="7">
        <v>34</v>
      </c>
      <c r="B42" s="8" t="s">
        <v>56</v>
      </c>
      <c r="C42" s="9">
        <f>+'[1]2013 m sav pask su MMA1000'!C46</f>
        <v>9</v>
      </c>
      <c r="D42" s="9">
        <f>+'[1]2013 m sav pask su MMA1000'!D46</f>
        <v>0</v>
      </c>
      <c r="E42" s="9">
        <f>+'[1]2013 m sav pask su MMA1000'!E46</f>
        <v>9</v>
      </c>
      <c r="F42" s="10">
        <v>380</v>
      </c>
      <c r="G42" s="10">
        <f>+'[1]2013 m sav pask su MMA1000'!F46</f>
        <v>434.9</v>
      </c>
      <c r="H42" s="10">
        <f>+'[1]2013 m sav pask su MMA1000'!G46</f>
        <v>427.70000000000005</v>
      </c>
      <c r="I42" s="10">
        <f t="shared" si="5"/>
        <v>-1.6555530006897925</v>
      </c>
      <c r="J42" s="10">
        <f t="shared" si="6"/>
        <v>-7.1999999999999318</v>
      </c>
      <c r="K42" s="10">
        <f t="shared" si="10"/>
        <v>35.641666666666673</v>
      </c>
      <c r="L42" s="10">
        <f t="shared" si="11"/>
        <v>396.2</v>
      </c>
      <c r="M42" s="10">
        <f t="shared" si="7"/>
        <v>33.016666666666666</v>
      </c>
      <c r="N42" s="10">
        <f t="shared" si="2"/>
        <v>4.2631578947368354</v>
      </c>
      <c r="O42" s="10">
        <f t="shared" si="12"/>
        <v>16.199999999999989</v>
      </c>
      <c r="P42" s="10"/>
      <c r="Q42" s="10">
        <f t="shared" si="13"/>
        <v>-31.500000000000057</v>
      </c>
      <c r="R42" s="10">
        <f t="shared" si="4"/>
        <v>-0.88379705400982189</v>
      </c>
    </row>
    <row r="43" spans="1:19">
      <c r="A43" s="7">
        <v>35</v>
      </c>
      <c r="B43" s="8" t="s">
        <v>57</v>
      </c>
      <c r="C43" s="9">
        <f>+'[1]2013 m sav pask su MMA1000'!C47</f>
        <v>16</v>
      </c>
      <c r="D43" s="9">
        <f>+'[1]2013 m sav pask su MMA1000'!D47</f>
        <v>0</v>
      </c>
      <c r="E43" s="9">
        <f>+'[1]2013 m sav pask su MMA1000'!E47</f>
        <v>16</v>
      </c>
      <c r="F43" s="10">
        <v>1361.2</v>
      </c>
      <c r="G43" s="10">
        <f>+'[1]2013 m sav pask su MMA1000'!F47</f>
        <v>1523.9999999999998</v>
      </c>
      <c r="H43" s="10">
        <f>+'[1]2013 m sav pask su MMA1000'!G47</f>
        <v>1517.4999999999998</v>
      </c>
      <c r="I43" s="10">
        <f t="shared" si="5"/>
        <v>-0.42650918635170854</v>
      </c>
      <c r="J43" s="10">
        <f t="shared" si="6"/>
        <v>-6.5</v>
      </c>
      <c r="K43" s="10">
        <f t="shared" si="10"/>
        <v>126.45833333333331</v>
      </c>
      <c r="L43" s="10">
        <f t="shared" si="11"/>
        <v>1405.8</v>
      </c>
      <c r="M43" s="10">
        <f t="shared" si="7"/>
        <v>117.14999999999999</v>
      </c>
      <c r="N43" s="10">
        <f t="shared" si="2"/>
        <v>3.2765207170143924</v>
      </c>
      <c r="O43" s="10">
        <f t="shared" si="12"/>
        <v>44.599999999999909</v>
      </c>
      <c r="P43" s="10"/>
      <c r="Q43" s="10">
        <f t="shared" si="13"/>
        <v>-111.69999999999982</v>
      </c>
      <c r="R43" s="10">
        <f t="shared" si="4"/>
        <v>-0.88329489291597874</v>
      </c>
    </row>
    <row r="44" spans="1:19" s="18" customFormat="1">
      <c r="A44" s="7">
        <v>36</v>
      </c>
      <c r="B44" s="8" t="s">
        <v>58</v>
      </c>
      <c r="C44" s="9">
        <f>+'[1]2013 m sav pask su MMA1000'!C48</f>
        <v>22.5</v>
      </c>
      <c r="D44" s="9">
        <f>+'[1]2013 m sav pask su MMA1000'!D48</f>
        <v>0</v>
      </c>
      <c r="E44" s="9">
        <f>+'[1]2013 m sav pask su MMA1000'!E48</f>
        <v>22.5</v>
      </c>
      <c r="F44" s="10">
        <v>656.9</v>
      </c>
      <c r="G44" s="10">
        <f>+'[1]2013 m sav pask su MMA1000'!F48</f>
        <v>686.3</v>
      </c>
      <c r="H44" s="10">
        <f>+'[1]2013 m sav pask su MMA1000'!G48</f>
        <v>687.4</v>
      </c>
      <c r="I44" s="10">
        <f t="shared" si="5"/>
        <v>0.160279761037458</v>
      </c>
      <c r="J44" s="10">
        <f t="shared" si="6"/>
        <v>1.1000000000000227</v>
      </c>
      <c r="K44" s="10">
        <f t="shared" si="10"/>
        <v>57.283333333333331</v>
      </c>
      <c r="L44" s="10">
        <f>+ROUND(H44*0.92638,1)+46</f>
        <v>682.8</v>
      </c>
      <c r="M44" s="10">
        <f t="shared" si="7"/>
        <v>56.9</v>
      </c>
      <c r="N44" s="10">
        <f t="shared" si="2"/>
        <v>3.9427614553204506</v>
      </c>
      <c r="O44" s="10">
        <f t="shared" si="12"/>
        <v>25.899999999999977</v>
      </c>
      <c r="P44" s="10"/>
      <c r="Q44" s="10">
        <f t="shared" si="13"/>
        <v>-4.6000000000000227</v>
      </c>
      <c r="R44" s="10">
        <f t="shared" si="4"/>
        <v>-8.030258946755886E-2</v>
      </c>
      <c r="S44" s="1"/>
    </row>
    <row r="45" spans="1:19">
      <c r="A45" s="7">
        <v>37</v>
      </c>
      <c r="B45" s="8" t="s">
        <v>59</v>
      </c>
      <c r="C45" s="9">
        <f>+'[1]2013 m sav pask su MMA1000'!C49</f>
        <v>14.75</v>
      </c>
      <c r="D45" s="9">
        <f>+'[1]2013 m sav pask su MMA1000'!D49</f>
        <v>-5</v>
      </c>
      <c r="E45" s="9">
        <f>+'[1]2013 m sav pask su MMA1000'!E49</f>
        <v>9.75</v>
      </c>
      <c r="F45" s="10">
        <v>209.3</v>
      </c>
      <c r="G45" s="10">
        <f>+'[1]2013 m sav pask su MMA1000'!F49</f>
        <v>224.9</v>
      </c>
      <c r="H45" s="10">
        <f>+'[1]2013 m sav pask su MMA1000'!G49</f>
        <v>216.4</v>
      </c>
      <c r="I45" s="10">
        <f t="shared" si="5"/>
        <v>-3.779457536682969</v>
      </c>
      <c r="J45" s="10">
        <f t="shared" si="6"/>
        <v>-8.5</v>
      </c>
      <c r="K45" s="10">
        <f t="shared" si="10"/>
        <v>18.033333333333335</v>
      </c>
      <c r="L45" s="10">
        <f t="shared" si="11"/>
        <v>200.5</v>
      </c>
      <c r="M45" s="10">
        <f t="shared" si="7"/>
        <v>16.708333333333332</v>
      </c>
      <c r="N45" s="10">
        <f t="shared" si="2"/>
        <v>-4.2044911610129105</v>
      </c>
      <c r="O45" s="10">
        <f t="shared" si="12"/>
        <v>-8.8000000000000114</v>
      </c>
      <c r="P45" s="10"/>
      <c r="Q45" s="10">
        <f t="shared" si="13"/>
        <v>-15.900000000000006</v>
      </c>
      <c r="R45" s="10">
        <f t="shared" si="4"/>
        <v>-0.88170055452865093</v>
      </c>
    </row>
    <row r="46" spans="1:19">
      <c r="A46" s="7">
        <v>38</v>
      </c>
      <c r="B46" s="19" t="s">
        <v>60</v>
      </c>
      <c r="C46" s="14">
        <f t="shared" ref="C46:M46" si="14">SUM(C21:C45)</f>
        <v>785.45</v>
      </c>
      <c r="D46" s="14">
        <f t="shared" si="14"/>
        <v>-259.07</v>
      </c>
      <c r="E46" s="14">
        <f t="shared" si="14"/>
        <v>526.37999999999988</v>
      </c>
      <c r="F46" s="14">
        <f t="shared" si="14"/>
        <v>7841.4999999999982</v>
      </c>
      <c r="G46" s="14">
        <f t="shared" si="14"/>
        <v>9741.0999999999967</v>
      </c>
      <c r="H46" s="14">
        <f t="shared" si="14"/>
        <v>9463.5999999999985</v>
      </c>
      <c r="I46" s="15">
        <f t="shared" si="5"/>
        <v>-2.8487542474668999</v>
      </c>
      <c r="J46" s="15">
        <f>SUM(J21:J45)</f>
        <v>-277.5</v>
      </c>
      <c r="K46" s="15">
        <f t="shared" si="14"/>
        <v>788.63333333333344</v>
      </c>
      <c r="L46" s="15">
        <f t="shared" si="14"/>
        <v>8812.7999999999993</v>
      </c>
      <c r="M46" s="15">
        <f t="shared" si="14"/>
        <v>734.40000000000009</v>
      </c>
      <c r="N46" s="15">
        <f t="shared" si="2"/>
        <v>12.386660715424355</v>
      </c>
      <c r="O46" s="15">
        <f>SUM(O21:O45)</f>
        <v>971.3</v>
      </c>
      <c r="P46" s="15"/>
      <c r="Q46" s="15">
        <f>SUM(Q21:Q45)</f>
        <v>-650.79999999999984</v>
      </c>
      <c r="R46" s="15">
        <f t="shared" si="4"/>
        <v>-0.82522507291094271</v>
      </c>
    </row>
    <row r="47" spans="1:19">
      <c r="A47" s="7">
        <v>39</v>
      </c>
      <c r="B47" s="8" t="s">
        <v>61</v>
      </c>
      <c r="C47" s="9">
        <f>+'[1]2013 m sav pask su MMA1000'!C51</f>
        <v>37</v>
      </c>
      <c r="D47" s="9">
        <f>+'[1]2013 m sav pask su MMA1000'!D51</f>
        <v>0</v>
      </c>
      <c r="E47" s="9">
        <f>+'[1]2013 m sav pask su MMA1000'!E51</f>
        <v>37</v>
      </c>
      <c r="F47" s="10">
        <v>636.1</v>
      </c>
      <c r="G47" s="10">
        <f>+'[1]2013 m sav pask su MMA1000'!F51</f>
        <v>691.7</v>
      </c>
      <c r="H47" s="10">
        <f>+'[1]2013 m sav pask su MMA1000'!G51</f>
        <v>652.4</v>
      </c>
      <c r="I47" s="10">
        <f t="shared" si="5"/>
        <v>-5.6816538961977727</v>
      </c>
      <c r="J47" s="10">
        <f t="shared" si="6"/>
        <v>-39.300000000000068</v>
      </c>
      <c r="K47" s="10">
        <f t="shared" ref="K47:K62" si="15">+H47/12</f>
        <v>54.366666666666667</v>
      </c>
      <c r="L47" s="10">
        <f t="shared" ref="L47:L60" si="16">+ROUND(H47*0.92638,1)</f>
        <v>604.4</v>
      </c>
      <c r="M47" s="10">
        <f t="shared" si="7"/>
        <v>50.366666666666667</v>
      </c>
      <c r="N47" s="10">
        <f t="shared" si="2"/>
        <v>-4.9834931614525999</v>
      </c>
      <c r="O47" s="10">
        <f t="shared" ref="O47:O62" si="17">+L47-F47</f>
        <v>-31.700000000000045</v>
      </c>
      <c r="P47" s="10"/>
      <c r="Q47" s="10">
        <f t="shared" ref="Q47:Q62" si="18">+L47-H47</f>
        <v>-48</v>
      </c>
      <c r="R47" s="10">
        <f t="shared" si="4"/>
        <v>-0.88289393010423112</v>
      </c>
    </row>
    <row r="48" spans="1:19">
      <c r="A48" s="7">
        <v>40</v>
      </c>
      <c r="B48" s="8" t="s">
        <v>62</v>
      </c>
      <c r="C48" s="9">
        <f>+'[1]2013 m sav pask su MMA1000'!C52</f>
        <v>12.5</v>
      </c>
      <c r="D48" s="9">
        <f>+'[1]2013 m sav pask su MMA1000'!D52</f>
        <v>0</v>
      </c>
      <c r="E48" s="9">
        <f>+'[1]2013 m sav pask su MMA1000'!E52</f>
        <v>12.5</v>
      </c>
      <c r="F48" s="10">
        <v>178.7</v>
      </c>
      <c r="G48" s="10">
        <f>+'[1]2013 m sav pask su MMA1000'!F52</f>
        <v>207.1</v>
      </c>
      <c r="H48" s="10">
        <f>+'[1]2013 m sav pask su MMA1000'!G52</f>
        <v>204.5</v>
      </c>
      <c r="I48" s="10">
        <f t="shared" si="5"/>
        <v>-1.2554321583775874</v>
      </c>
      <c r="J48" s="10">
        <f t="shared" si="6"/>
        <v>-2.5999999999999943</v>
      </c>
      <c r="K48" s="10">
        <f t="shared" si="15"/>
        <v>17.041666666666668</v>
      </c>
      <c r="L48" s="10">
        <f t="shared" si="16"/>
        <v>189.4</v>
      </c>
      <c r="M48" s="10">
        <f t="shared" si="7"/>
        <v>15.783333333333333</v>
      </c>
      <c r="N48" s="10">
        <f t="shared" si="2"/>
        <v>5.9876888640179118</v>
      </c>
      <c r="O48" s="10">
        <f t="shared" si="17"/>
        <v>10.700000000000017</v>
      </c>
      <c r="P48" s="10"/>
      <c r="Q48" s="10">
        <f t="shared" si="18"/>
        <v>-15.099999999999994</v>
      </c>
      <c r="R48" s="10">
        <f t="shared" si="4"/>
        <v>-0.88606356968215216</v>
      </c>
    </row>
    <row r="49" spans="1:18">
      <c r="A49" s="7">
        <v>41</v>
      </c>
      <c r="B49" s="8" t="s">
        <v>63</v>
      </c>
      <c r="C49" s="9">
        <f>+'[1]2013 m sav pask su MMA1000'!C53</f>
        <v>7.2</v>
      </c>
      <c r="D49" s="9">
        <f>+'[1]2013 m sav pask su MMA1000'!D53</f>
        <v>0</v>
      </c>
      <c r="E49" s="9">
        <f>+'[1]2013 m sav pask su MMA1000'!E53</f>
        <v>7.2</v>
      </c>
      <c r="F49" s="10">
        <v>114.9</v>
      </c>
      <c r="G49" s="10">
        <f>+'[1]2013 m sav pask su MMA1000'!F53</f>
        <v>122.4</v>
      </c>
      <c r="H49" s="10">
        <f>+'[1]2013 m sav pask su MMA1000'!G53</f>
        <v>122.5</v>
      </c>
      <c r="I49" s="10">
        <f t="shared" si="5"/>
        <v>8.1699346405230244E-2</v>
      </c>
      <c r="J49" s="10">
        <f t="shared" si="6"/>
        <v>9.9999999999994316E-2</v>
      </c>
      <c r="K49" s="10">
        <f t="shared" si="15"/>
        <v>10.208333333333334</v>
      </c>
      <c r="L49" s="10">
        <f t="shared" si="16"/>
        <v>113.5</v>
      </c>
      <c r="M49" s="10">
        <f t="shared" si="7"/>
        <v>9.4583333333333339</v>
      </c>
      <c r="N49" s="10">
        <f t="shared" si="2"/>
        <v>-1.2184508268059204</v>
      </c>
      <c r="O49" s="10">
        <f t="shared" si="17"/>
        <v>-1.4000000000000057</v>
      </c>
      <c r="P49" s="10"/>
      <c r="Q49" s="10">
        <f t="shared" si="18"/>
        <v>-9</v>
      </c>
      <c r="R49" s="10">
        <f t="shared" si="4"/>
        <v>-0.8816326530612244</v>
      </c>
    </row>
    <row r="50" spans="1:18">
      <c r="A50" s="7">
        <v>42</v>
      </c>
      <c r="B50" s="8" t="s">
        <v>64</v>
      </c>
      <c r="C50" s="9">
        <f>+'[1]2013 m sav pask su MMA1000'!C54</f>
        <v>7.5</v>
      </c>
      <c r="D50" s="9">
        <f>+'[1]2013 m sav pask su MMA1000'!D54</f>
        <v>0</v>
      </c>
      <c r="E50" s="9">
        <f>+'[1]2013 m sav pask su MMA1000'!E54</f>
        <v>7.5</v>
      </c>
      <c r="F50" s="10">
        <v>124.4</v>
      </c>
      <c r="G50" s="10">
        <f>+'[1]2013 m sav pask su MMA1000'!F54</f>
        <v>133.4</v>
      </c>
      <c r="H50" s="10">
        <f>+'[1]2013 m sav pask su MMA1000'!G54</f>
        <v>134</v>
      </c>
      <c r="I50" s="10">
        <f t="shared" si="5"/>
        <v>0.44977511244377411</v>
      </c>
      <c r="J50" s="10">
        <f t="shared" si="6"/>
        <v>0.59999999999999432</v>
      </c>
      <c r="K50" s="10">
        <f t="shared" si="15"/>
        <v>11.166666666666666</v>
      </c>
      <c r="L50" s="10">
        <f t="shared" si="16"/>
        <v>124.1</v>
      </c>
      <c r="M50" s="10">
        <f t="shared" si="7"/>
        <v>10.341666666666667</v>
      </c>
      <c r="N50" s="10">
        <f t="shared" si="2"/>
        <v>-0.24115755627009605</v>
      </c>
      <c r="O50" s="10">
        <f t="shared" si="17"/>
        <v>-0.30000000000001137</v>
      </c>
      <c r="P50" s="10"/>
      <c r="Q50" s="10">
        <f t="shared" si="18"/>
        <v>-9.9000000000000057</v>
      </c>
      <c r="R50" s="10">
        <f t="shared" si="4"/>
        <v>-0.88656716417910353</v>
      </c>
    </row>
    <row r="51" spans="1:18">
      <c r="A51" s="7">
        <v>43</v>
      </c>
      <c r="B51" s="8" t="s">
        <v>65</v>
      </c>
      <c r="C51" s="9">
        <f>+'[1]2013 m sav pask su MMA1000'!C55</f>
        <v>6</v>
      </c>
      <c r="D51" s="9">
        <f>+'[1]2013 m sav pask su MMA1000'!D55</f>
        <v>0</v>
      </c>
      <c r="E51" s="9">
        <f>+'[1]2013 m sav pask su MMA1000'!E55</f>
        <v>6</v>
      </c>
      <c r="F51" s="10">
        <v>91.4</v>
      </c>
      <c r="G51" s="10">
        <f>+'[1]2013 m sav pask su MMA1000'!F55</f>
        <v>95.1</v>
      </c>
      <c r="H51" s="10">
        <f>+'[1]2013 m sav pask su MMA1000'!G55</f>
        <v>98.199999999999989</v>
      </c>
      <c r="I51" s="10">
        <f t="shared" si="5"/>
        <v>3.2597266035751744</v>
      </c>
      <c r="J51" s="10">
        <f t="shared" si="6"/>
        <v>3.0999999999999943</v>
      </c>
      <c r="K51" s="10">
        <f t="shared" si="15"/>
        <v>8.1833333333333318</v>
      </c>
      <c r="L51" s="10">
        <f t="shared" si="16"/>
        <v>91</v>
      </c>
      <c r="M51" s="10">
        <f t="shared" si="7"/>
        <v>7.583333333333333</v>
      </c>
      <c r="N51" s="10">
        <f t="shared" si="2"/>
        <v>-0.43763676148796549</v>
      </c>
      <c r="O51" s="10">
        <f t="shared" si="17"/>
        <v>-0.40000000000000568</v>
      </c>
      <c r="P51" s="10"/>
      <c r="Q51" s="10">
        <f t="shared" si="18"/>
        <v>-7.1999999999999886</v>
      </c>
      <c r="R51" s="10">
        <f t="shared" si="4"/>
        <v>-0.87983706720977395</v>
      </c>
    </row>
    <row r="52" spans="1:18">
      <c r="A52" s="7">
        <v>44</v>
      </c>
      <c r="B52" s="8" t="s">
        <v>66</v>
      </c>
      <c r="C52" s="9">
        <f>+'[1]2013 m sav pask su MMA1000'!C56</f>
        <v>5.5</v>
      </c>
      <c r="D52" s="9">
        <f>+'[1]2013 m sav pask su MMA1000'!D56</f>
        <v>0</v>
      </c>
      <c r="E52" s="9">
        <f>+'[1]2013 m sav pask su MMA1000'!E56</f>
        <v>5.5</v>
      </c>
      <c r="F52" s="10">
        <v>79.900000000000006</v>
      </c>
      <c r="G52" s="10">
        <f>+'[1]2013 m sav pask su MMA1000'!F56</f>
        <v>84.2</v>
      </c>
      <c r="H52" s="10">
        <f>+'[1]2013 m sav pask su MMA1000'!G56</f>
        <v>90.7</v>
      </c>
      <c r="I52" s="10">
        <f t="shared" si="5"/>
        <v>7.7197149643705387</v>
      </c>
      <c r="J52" s="10">
        <f t="shared" si="6"/>
        <v>6.5</v>
      </c>
      <c r="K52" s="10">
        <f t="shared" si="15"/>
        <v>7.5583333333333336</v>
      </c>
      <c r="L52" s="10">
        <f t="shared" si="16"/>
        <v>84</v>
      </c>
      <c r="M52" s="10">
        <f t="shared" si="7"/>
        <v>7</v>
      </c>
      <c r="N52" s="10">
        <f t="shared" si="2"/>
        <v>5.1314142678347849</v>
      </c>
      <c r="O52" s="10">
        <f t="shared" si="17"/>
        <v>4.0999999999999943</v>
      </c>
      <c r="P52" s="10"/>
      <c r="Q52" s="10">
        <f t="shared" si="18"/>
        <v>-6.7000000000000028</v>
      </c>
      <c r="R52" s="10">
        <f t="shared" si="4"/>
        <v>-0.88643880926130159</v>
      </c>
    </row>
    <row r="53" spans="1:18">
      <c r="A53" s="7">
        <v>45</v>
      </c>
      <c r="B53" s="8" t="s">
        <v>67</v>
      </c>
      <c r="C53" s="9">
        <f>+'[1]2013 m sav pask su MMA1000'!C57</f>
        <v>65.5</v>
      </c>
      <c r="D53" s="9">
        <f>+'[1]2013 m sav pask su MMA1000'!D57</f>
        <v>0</v>
      </c>
      <c r="E53" s="9">
        <f>+'[1]2013 m sav pask su MMA1000'!E57</f>
        <v>65.5</v>
      </c>
      <c r="F53" s="10">
        <v>934.5</v>
      </c>
      <c r="G53" s="10">
        <f>+'[1]2013 m sav pask su MMA1000'!F57</f>
        <v>1116.0999999999999</v>
      </c>
      <c r="H53" s="10">
        <f>+'[1]2013 m sav pask su MMA1000'!G57</f>
        <v>1043.8</v>
      </c>
      <c r="I53" s="10">
        <f t="shared" si="5"/>
        <v>-6.4779141653973511</v>
      </c>
      <c r="J53" s="10">
        <f t="shared" si="6"/>
        <v>-72.299999999999955</v>
      </c>
      <c r="K53" s="10">
        <f t="shared" si="15"/>
        <v>86.983333333333334</v>
      </c>
      <c r="L53" s="10">
        <f t="shared" si="16"/>
        <v>967</v>
      </c>
      <c r="M53" s="10">
        <f t="shared" si="7"/>
        <v>80.583333333333329</v>
      </c>
      <c r="N53" s="10">
        <f t="shared" si="2"/>
        <v>3.4777956126270766</v>
      </c>
      <c r="O53" s="10">
        <f t="shared" si="17"/>
        <v>32.5</v>
      </c>
      <c r="P53" s="10"/>
      <c r="Q53" s="10">
        <f t="shared" si="18"/>
        <v>-76.799999999999955</v>
      </c>
      <c r="R53" s="10">
        <f t="shared" si="4"/>
        <v>-0.8829277639394526</v>
      </c>
    </row>
    <row r="54" spans="1:18" ht="14.25" customHeight="1">
      <c r="A54" s="7">
        <v>46</v>
      </c>
      <c r="B54" s="8" t="s">
        <v>68</v>
      </c>
      <c r="C54" s="9">
        <f>+'[1]2013 m sav pask su MMA1000'!C58</f>
        <v>24.5</v>
      </c>
      <c r="D54" s="9">
        <f>+'[1]2013 m sav pask su MMA1000'!D58</f>
        <v>0</v>
      </c>
      <c r="E54" s="9">
        <f>+'[1]2013 m sav pask su MMA1000'!E58</f>
        <v>24.5</v>
      </c>
      <c r="F54" s="10">
        <v>377.5</v>
      </c>
      <c r="G54" s="10">
        <f>+'[1]2013 m sav pask su MMA1000'!F58</f>
        <v>405.90000000000003</v>
      </c>
      <c r="H54" s="10">
        <f>+'[1]2013 m sav pask su MMA1000'!G58</f>
        <v>408.90000000000003</v>
      </c>
      <c r="I54" s="10">
        <f t="shared" si="5"/>
        <v>0.73909830007390553</v>
      </c>
      <c r="J54" s="10">
        <f t="shared" si="6"/>
        <v>3</v>
      </c>
      <c r="K54" s="10">
        <f t="shared" si="15"/>
        <v>34.075000000000003</v>
      </c>
      <c r="L54" s="10">
        <f t="shared" si="16"/>
        <v>378.8</v>
      </c>
      <c r="M54" s="10">
        <f t="shared" si="7"/>
        <v>31.566666666666666</v>
      </c>
      <c r="N54" s="10">
        <f t="shared" si="2"/>
        <v>0.34437086092715674</v>
      </c>
      <c r="O54" s="10">
        <f t="shared" si="17"/>
        <v>1.3000000000000114</v>
      </c>
      <c r="P54" s="10"/>
      <c r="Q54" s="10">
        <f t="shared" si="18"/>
        <v>-30.100000000000023</v>
      </c>
      <c r="R54" s="10">
        <f t="shared" si="4"/>
        <v>-0.88334556126192254</v>
      </c>
    </row>
    <row r="55" spans="1:18">
      <c r="A55" s="7">
        <v>47</v>
      </c>
      <c r="B55" s="8" t="s">
        <v>69</v>
      </c>
      <c r="C55" s="9">
        <f>+'[1]2013 m sav pask su MMA1000'!C59</f>
        <v>84</v>
      </c>
      <c r="D55" s="9">
        <f>+'[1]2013 m sav pask su MMA1000'!D59</f>
        <v>-83</v>
      </c>
      <c r="E55" s="9">
        <f>+'[1]2013 m sav pask su MMA1000'!E59</f>
        <v>1</v>
      </c>
      <c r="F55" s="10">
        <v>10.8</v>
      </c>
      <c r="G55" s="10">
        <f>+'[1]2013 m sav pask su MMA1000'!F59</f>
        <v>10.8</v>
      </c>
      <c r="H55" s="10">
        <f>+'[1]2013 m sav pask su MMA1000'!G59</f>
        <v>12.1</v>
      </c>
      <c r="I55" s="10">
        <f t="shared" si="5"/>
        <v>12.037037037037024</v>
      </c>
      <c r="J55" s="10">
        <f t="shared" si="6"/>
        <v>1.2999999999999989</v>
      </c>
      <c r="K55" s="10">
        <f t="shared" si="15"/>
        <v>1.0083333333333333</v>
      </c>
      <c r="L55" s="10">
        <f t="shared" si="16"/>
        <v>11.2</v>
      </c>
      <c r="M55" s="10">
        <f t="shared" si="7"/>
        <v>0.93333333333333324</v>
      </c>
      <c r="N55" s="10">
        <f t="shared" si="2"/>
        <v>3.7037037037036953</v>
      </c>
      <c r="O55" s="10">
        <f t="shared" si="17"/>
        <v>0.39999999999999858</v>
      </c>
      <c r="P55" s="10"/>
      <c r="Q55" s="10">
        <f t="shared" si="18"/>
        <v>-0.90000000000000036</v>
      </c>
      <c r="R55" s="10">
        <f t="shared" si="4"/>
        <v>-0.89256198347107407</v>
      </c>
    </row>
    <row r="56" spans="1:18">
      <c r="A56" s="7">
        <v>48</v>
      </c>
      <c r="B56" s="17" t="s">
        <v>70</v>
      </c>
      <c r="C56" s="9">
        <f>+'[1]2013 m sav pask su MMA1000'!C60</f>
        <v>36.75</v>
      </c>
      <c r="D56" s="9">
        <f>+'[1]2013 m sav pask su MMA1000'!D60</f>
        <v>-14.22</v>
      </c>
      <c r="E56" s="9">
        <f>+'[1]2013 m sav pask su MMA1000'!E60</f>
        <v>22.53</v>
      </c>
      <c r="F56" s="10">
        <v>625.79999999999995</v>
      </c>
      <c r="G56" s="10">
        <f>+'[1]2013 m sav pask su MMA1000'!F60</f>
        <v>740.8</v>
      </c>
      <c r="H56" s="10">
        <f>+'[1]2013 m sav pask su MMA1000'!G60</f>
        <v>716.3</v>
      </c>
      <c r="I56" s="10">
        <f t="shared" si="5"/>
        <v>-3.3072354211662969</v>
      </c>
      <c r="J56" s="10">
        <f t="shared" si="6"/>
        <v>-24.5</v>
      </c>
      <c r="K56" s="10">
        <f t="shared" si="15"/>
        <v>59.691666666666663</v>
      </c>
      <c r="L56" s="10">
        <f t="shared" si="16"/>
        <v>663.6</v>
      </c>
      <c r="M56" s="10">
        <f t="shared" si="7"/>
        <v>55.300000000000004</v>
      </c>
      <c r="N56" s="10">
        <f t="shared" si="2"/>
        <v>6.0402684563758413</v>
      </c>
      <c r="O56" s="10">
        <f t="shared" si="17"/>
        <v>37.800000000000068</v>
      </c>
      <c r="P56" s="10"/>
      <c r="Q56" s="10">
        <f t="shared" si="18"/>
        <v>-52.699999999999932</v>
      </c>
      <c r="R56" s="10">
        <f t="shared" si="4"/>
        <v>-0.88287030573781777</v>
      </c>
    </row>
    <row r="57" spans="1:18">
      <c r="A57" s="7">
        <v>49</v>
      </c>
      <c r="B57" s="20" t="s">
        <v>71</v>
      </c>
      <c r="C57" s="9">
        <f>+'[1]2013 m sav pask su MMA1000'!C61</f>
        <v>28.75</v>
      </c>
      <c r="D57" s="9">
        <f>+'[1]2013 m sav pask su MMA1000'!D61</f>
        <v>-16.399999999999999</v>
      </c>
      <c r="E57" s="9">
        <f>+'[1]2013 m sav pask su MMA1000'!E61</f>
        <v>12.350000000000001</v>
      </c>
      <c r="F57" s="10">
        <v>186.2</v>
      </c>
      <c r="G57" s="10">
        <f>+'[1]2013 m sav pask su MMA1000'!F61</f>
        <v>231.4</v>
      </c>
      <c r="H57" s="10">
        <f>+'[1]2013 m sav pask su MMA1000'!G61</f>
        <v>216.8</v>
      </c>
      <c r="I57" s="10">
        <f t="shared" si="5"/>
        <v>-6.3094209161624946</v>
      </c>
      <c r="J57" s="10">
        <f t="shared" si="6"/>
        <v>-14.599999999999994</v>
      </c>
      <c r="K57" s="10">
        <f t="shared" si="15"/>
        <v>18.066666666666666</v>
      </c>
      <c r="L57" s="10">
        <f t="shared" si="16"/>
        <v>200.8</v>
      </c>
      <c r="M57" s="10">
        <f t="shared" si="7"/>
        <v>16.733333333333334</v>
      </c>
      <c r="N57" s="10">
        <f t="shared" si="2"/>
        <v>7.841031149301827</v>
      </c>
      <c r="O57" s="10">
        <f t="shared" si="17"/>
        <v>14.600000000000023</v>
      </c>
      <c r="P57" s="10"/>
      <c r="Q57" s="10">
        <f t="shared" si="18"/>
        <v>-16</v>
      </c>
      <c r="R57" s="10">
        <f t="shared" si="4"/>
        <v>-0.88560885608855955</v>
      </c>
    </row>
    <row r="58" spans="1:18">
      <c r="A58" s="7">
        <v>50</v>
      </c>
      <c r="B58" s="20" t="s">
        <v>72</v>
      </c>
      <c r="C58" s="9">
        <f>+'[1]2013 m sav pask su MMA1000'!C62</f>
        <v>29.66</v>
      </c>
      <c r="D58" s="9">
        <f>+'[1]2013 m sav pask su MMA1000'!D62</f>
        <v>-9.58</v>
      </c>
      <c r="E58" s="9">
        <f>+'[1]2013 m sav pask su MMA1000'!E62</f>
        <v>20.079999999999998</v>
      </c>
      <c r="F58" s="10">
        <v>274.5</v>
      </c>
      <c r="G58" s="10">
        <f>+'[1]2013 m sav pask su MMA1000'!F62</f>
        <v>323.8</v>
      </c>
      <c r="H58" s="10">
        <f>+'[1]2013 m sav pask su MMA1000'!G62</f>
        <v>314.7</v>
      </c>
      <c r="I58" s="10">
        <f t="shared" si="5"/>
        <v>-2.8103767757875318</v>
      </c>
      <c r="J58" s="10">
        <f t="shared" si="6"/>
        <v>-9.1000000000000227</v>
      </c>
      <c r="K58" s="10">
        <f t="shared" si="15"/>
        <v>26.224999999999998</v>
      </c>
      <c r="L58" s="10">
        <f t="shared" si="16"/>
        <v>291.5</v>
      </c>
      <c r="M58" s="10">
        <f t="shared" si="7"/>
        <v>24.291666666666668</v>
      </c>
      <c r="N58" s="10">
        <f t="shared" si="2"/>
        <v>6.1930783242258656</v>
      </c>
      <c r="O58" s="10">
        <f t="shared" si="17"/>
        <v>17</v>
      </c>
      <c r="P58" s="10"/>
      <c r="Q58" s="10">
        <f t="shared" si="18"/>
        <v>-23.199999999999989</v>
      </c>
      <c r="R58" s="10">
        <f t="shared" si="4"/>
        <v>-0.8846520495710184</v>
      </c>
    </row>
    <row r="59" spans="1:18">
      <c r="A59" s="7">
        <v>51</v>
      </c>
      <c r="B59" s="20" t="s">
        <v>73</v>
      </c>
      <c r="C59" s="9">
        <f>+'[1]2013 m sav pask su MMA1000'!C63</f>
        <v>29.43</v>
      </c>
      <c r="D59" s="9">
        <f>+'[1]2013 m sav pask su MMA1000'!D63</f>
        <v>-6.58</v>
      </c>
      <c r="E59" s="9">
        <f>+'[1]2013 m sav pask su MMA1000'!E63</f>
        <v>22.85</v>
      </c>
      <c r="F59" s="10">
        <v>242.2</v>
      </c>
      <c r="G59" s="10">
        <f>+'[1]2013 m sav pask su MMA1000'!F63</f>
        <v>352.79999999999995</v>
      </c>
      <c r="H59" s="10">
        <f>+'[1]2013 m sav pask su MMA1000'!G63</f>
        <v>348</v>
      </c>
      <c r="I59" s="10">
        <f t="shared" si="5"/>
        <v>-1.3605442176870639</v>
      </c>
      <c r="J59" s="10">
        <f t="shared" si="6"/>
        <v>-4.7999999999999545</v>
      </c>
      <c r="K59" s="10">
        <f t="shared" si="15"/>
        <v>29</v>
      </c>
      <c r="L59" s="10">
        <f t="shared" si="16"/>
        <v>322.39999999999998</v>
      </c>
      <c r="M59" s="10">
        <f t="shared" si="7"/>
        <v>26.866666666666664</v>
      </c>
      <c r="N59" s="10">
        <f t="shared" si="2"/>
        <v>33.113129644921543</v>
      </c>
      <c r="O59" s="10">
        <f t="shared" si="17"/>
        <v>80.199999999999989</v>
      </c>
      <c r="P59" s="10"/>
      <c r="Q59" s="10">
        <f t="shared" si="18"/>
        <v>-25.600000000000023</v>
      </c>
      <c r="R59" s="10">
        <f t="shared" si="4"/>
        <v>-0.88275862068965516</v>
      </c>
    </row>
    <row r="60" spans="1:18">
      <c r="A60" s="7">
        <v>52</v>
      </c>
      <c r="B60" s="8" t="s">
        <v>74</v>
      </c>
      <c r="C60" s="9">
        <f>+'[1]2013 m sav pask su MMA1000'!C64</f>
        <v>30</v>
      </c>
      <c r="D60" s="9">
        <f>+'[1]2013 m sav pask su MMA1000'!D64</f>
        <v>0</v>
      </c>
      <c r="E60" s="9">
        <f>+'[1]2013 m sav pask su MMA1000'!E64</f>
        <v>30</v>
      </c>
      <c r="F60" s="10">
        <v>533.70000000000005</v>
      </c>
      <c r="G60" s="10">
        <f>+'[1]2013 m sav pask su MMA1000'!F64</f>
        <v>612.4</v>
      </c>
      <c r="H60" s="10">
        <f>+'[1]2013 m sav pask su MMA1000'!G64</f>
        <v>617.5</v>
      </c>
      <c r="I60" s="10">
        <f t="shared" si="5"/>
        <v>0.83278902677989208</v>
      </c>
      <c r="J60" s="10">
        <f t="shared" si="6"/>
        <v>5.1000000000000227</v>
      </c>
      <c r="K60" s="10">
        <f t="shared" si="15"/>
        <v>51.458333333333336</v>
      </c>
      <c r="L60" s="10">
        <f t="shared" si="16"/>
        <v>572</v>
      </c>
      <c r="M60" s="10">
        <f t="shared" si="7"/>
        <v>47.666666666666664</v>
      </c>
      <c r="N60" s="10">
        <f t="shared" si="2"/>
        <v>7.1763162825557316</v>
      </c>
      <c r="O60" s="10">
        <f t="shared" si="17"/>
        <v>38.299999999999955</v>
      </c>
      <c r="P60" s="10"/>
      <c r="Q60" s="10">
        <f t="shared" si="18"/>
        <v>-45.5</v>
      </c>
      <c r="R60" s="10">
        <f t="shared" si="4"/>
        <v>-0.88421052631579045</v>
      </c>
    </row>
    <row r="61" spans="1:18">
      <c r="A61" s="7">
        <v>53</v>
      </c>
      <c r="B61" s="21" t="s">
        <v>75</v>
      </c>
      <c r="C61" s="9">
        <f>+'[1]2013 m sav pask su MMA1000'!C65</f>
        <v>19</v>
      </c>
      <c r="D61" s="9">
        <f>+'[1]2013 m sav pask su MMA1000'!D65</f>
        <v>-12</v>
      </c>
      <c r="E61" s="9">
        <f>+'[1]2013 m sav pask su MMA1000'!E65</f>
        <v>7</v>
      </c>
      <c r="F61" s="10">
        <v>118.8</v>
      </c>
      <c r="G61" s="10">
        <f>+'[1]2013 m sav pask su MMA1000'!F65</f>
        <v>153.30000000000001</v>
      </c>
      <c r="H61" s="10">
        <f>+'[1]2013 m sav pask su MMA1000'!G65</f>
        <v>134.1</v>
      </c>
      <c r="I61" s="10">
        <f t="shared" si="5"/>
        <v>-12.524461839530346</v>
      </c>
      <c r="J61" s="10">
        <f t="shared" si="6"/>
        <v>-19.200000000000017</v>
      </c>
      <c r="K61" s="10">
        <f t="shared" si="15"/>
        <v>11.174999999999999</v>
      </c>
      <c r="L61" s="10">
        <f>+ROUND(H61*0.92638,1)-6.2</f>
        <v>118</v>
      </c>
      <c r="M61" s="10">
        <f t="shared" si="7"/>
        <v>9.8333333333333339</v>
      </c>
      <c r="N61" s="10">
        <f t="shared" si="2"/>
        <v>-0.67340067340066412</v>
      </c>
      <c r="O61" s="10">
        <f t="shared" si="17"/>
        <v>-0.79999999999999716</v>
      </c>
      <c r="P61" s="10"/>
      <c r="Q61" s="10">
        <f t="shared" si="18"/>
        <v>-16.099999999999994</v>
      </c>
      <c r="R61" s="10">
        <f t="shared" si="4"/>
        <v>-1.4407158836689025</v>
      </c>
    </row>
    <row r="62" spans="1:18">
      <c r="A62" s="7">
        <v>54</v>
      </c>
      <c r="B62" s="17" t="s">
        <v>76</v>
      </c>
      <c r="C62" s="9">
        <f>+'[1]2013 m sav pask su MMA1000'!C66</f>
        <v>4</v>
      </c>
      <c r="D62" s="9">
        <f>+'[1]2013 m sav pask su MMA1000'!D66</f>
        <v>0</v>
      </c>
      <c r="E62" s="9">
        <f>+'[1]2013 m sav pask su MMA1000'!E66</f>
        <v>4</v>
      </c>
      <c r="F62" s="10">
        <v>159.1</v>
      </c>
      <c r="G62" s="10">
        <f>+'[1]2013 m sav pask su MMA1000'!F66</f>
        <v>177.9</v>
      </c>
      <c r="H62" s="10">
        <f>+'[1]2013 m sav pask su MMA1000'!G66</f>
        <v>177.9</v>
      </c>
      <c r="I62" s="10">
        <f t="shared" si="5"/>
        <v>0</v>
      </c>
      <c r="J62" s="10">
        <f t="shared" si="6"/>
        <v>0</v>
      </c>
      <c r="K62" s="10">
        <f t="shared" si="15"/>
        <v>14.825000000000001</v>
      </c>
      <c r="L62" s="10">
        <f>+ROUND(H62*0.92638,1)</f>
        <v>164.8</v>
      </c>
      <c r="M62" s="10">
        <f t="shared" si="7"/>
        <v>13.733333333333334</v>
      </c>
      <c r="N62" s="10">
        <f t="shared" si="2"/>
        <v>3.5826524198617307</v>
      </c>
      <c r="O62" s="10">
        <f t="shared" si="17"/>
        <v>5.7000000000000171</v>
      </c>
      <c r="P62" s="10"/>
      <c r="Q62" s="10">
        <f t="shared" si="18"/>
        <v>-13.099999999999994</v>
      </c>
      <c r="R62" s="10">
        <f t="shared" si="4"/>
        <v>-0.883642495784148</v>
      </c>
    </row>
    <row r="63" spans="1:18">
      <c r="A63" s="7">
        <v>55</v>
      </c>
      <c r="B63" s="13" t="s">
        <v>77</v>
      </c>
      <c r="C63" s="14">
        <f>SUM(C47:C62)</f>
        <v>427.29</v>
      </c>
      <c r="D63" s="14">
        <f>SUM(D47:D62)</f>
        <v>-141.78</v>
      </c>
      <c r="E63" s="14">
        <f t="shared" ref="E63:O63" si="19">SUM(E47:E62)</f>
        <v>285.51</v>
      </c>
      <c r="F63" s="14">
        <f t="shared" si="19"/>
        <v>4688.5</v>
      </c>
      <c r="G63" s="14">
        <f t="shared" si="19"/>
        <v>5459.0999999999995</v>
      </c>
      <c r="H63" s="14">
        <f t="shared" si="19"/>
        <v>5292.4000000000005</v>
      </c>
      <c r="I63" s="15">
        <f t="shared" si="5"/>
        <v>-3.0536168965580259</v>
      </c>
      <c r="J63" s="15">
        <f>SUM(J47:J62)</f>
        <v>-166.70000000000002</v>
      </c>
      <c r="K63" s="15">
        <f t="shared" si="19"/>
        <v>441.0333333333333</v>
      </c>
      <c r="L63" s="15">
        <f t="shared" si="19"/>
        <v>4896.5</v>
      </c>
      <c r="M63" s="15">
        <f t="shared" si="19"/>
        <v>408.04166666666674</v>
      </c>
      <c r="N63" s="15">
        <f t="shared" si="2"/>
        <v>4.4363869041271187</v>
      </c>
      <c r="O63" s="14">
        <f t="shared" si="19"/>
        <v>208.00000000000003</v>
      </c>
      <c r="P63" s="15"/>
      <c r="Q63" s="15">
        <f>SUM(Q47:Q62)</f>
        <v>-395.89999999999986</v>
      </c>
      <c r="R63" s="15">
        <f t="shared" si="4"/>
        <v>-0.89766457561786694</v>
      </c>
    </row>
    <row r="64" spans="1:18">
      <c r="A64" s="7">
        <v>56</v>
      </c>
      <c r="B64" s="17" t="s">
        <v>78</v>
      </c>
      <c r="C64" s="9">
        <f>+'[1]2013 m sav pask su MMA1000'!C68</f>
        <v>136.5</v>
      </c>
      <c r="D64" s="9">
        <f>+'[1]2013 m sav pask su MMA1000'!D68</f>
        <v>-32.35</v>
      </c>
      <c r="E64" s="9">
        <f>+'[1]2013 m sav pask su MMA1000'!E68</f>
        <v>104.15</v>
      </c>
      <c r="F64" s="10">
        <v>2866.9</v>
      </c>
      <c r="G64" s="10">
        <f>+'[1]2013 m sav pask su MMA1000'!F68</f>
        <v>3064.9</v>
      </c>
      <c r="H64" s="10">
        <f>+'[1]2013 m sav pask su MMA1000'!G68</f>
        <v>3064.9</v>
      </c>
      <c r="I64" s="10">
        <f t="shared" si="5"/>
        <v>0</v>
      </c>
      <c r="J64" s="10">
        <f t="shared" si="6"/>
        <v>0</v>
      </c>
      <c r="K64" s="10">
        <f t="shared" ref="K64:K75" si="20">+H64/12</f>
        <v>255.40833333333333</v>
      </c>
      <c r="L64" s="10">
        <f>+ROUND(H64*0.92638,1)+0.3</f>
        <v>2839.6000000000004</v>
      </c>
      <c r="M64" s="10">
        <f t="shared" si="7"/>
        <v>236.63333333333335</v>
      </c>
      <c r="N64" s="10">
        <f t="shared" si="2"/>
        <v>-0.95224807283126722</v>
      </c>
      <c r="O64" s="10">
        <f t="shared" ref="O64:O75" si="21">+L64-F64</f>
        <v>-27.299999999999727</v>
      </c>
      <c r="P64" s="10"/>
      <c r="Q64" s="10">
        <f t="shared" ref="Q64:Q75" si="22">+L64-H64</f>
        <v>-225.29999999999973</v>
      </c>
      <c r="R64" s="10">
        <f t="shared" si="4"/>
        <v>-0.88211687167607344</v>
      </c>
    </row>
    <row r="65" spans="1:18">
      <c r="A65" s="7">
        <v>57</v>
      </c>
      <c r="B65" s="22" t="s">
        <v>79</v>
      </c>
      <c r="C65" s="9">
        <f>+'[1]2013 m sav pask su MMA1000'!C69</f>
        <v>30.75</v>
      </c>
      <c r="D65" s="9">
        <f>+'[1]2013 m sav pask su MMA1000'!D69</f>
        <v>-5.81</v>
      </c>
      <c r="E65" s="9">
        <f>+'[1]2013 m sav pask su MMA1000'!E69</f>
        <v>24.94</v>
      </c>
      <c r="F65" s="10">
        <v>424.2</v>
      </c>
      <c r="G65" s="10">
        <f>+'[1]2013 m sav pask su MMA1000'!F69</f>
        <v>428.7</v>
      </c>
      <c r="H65" s="10">
        <f>+'[1]2013 m sav pask su MMA1000'!G69</f>
        <v>423</v>
      </c>
      <c r="I65" s="10">
        <f t="shared" si="5"/>
        <v>-1.3296011196641047</v>
      </c>
      <c r="J65" s="10">
        <f t="shared" si="6"/>
        <v>-5.6999999999999886</v>
      </c>
      <c r="K65" s="10">
        <f t="shared" si="20"/>
        <v>35.25</v>
      </c>
      <c r="L65" s="10">
        <f t="shared" ref="L65:L75" si="23">+ROUND(H65*0.92638,1)</f>
        <v>391.9</v>
      </c>
      <c r="M65" s="10">
        <f t="shared" si="7"/>
        <v>32.658333333333331</v>
      </c>
      <c r="N65" s="10">
        <f t="shared" si="2"/>
        <v>-7.6143328618576049</v>
      </c>
      <c r="O65" s="10">
        <f t="shared" si="21"/>
        <v>-32.300000000000011</v>
      </c>
      <c r="P65" s="10"/>
      <c r="Q65" s="10">
        <f t="shared" si="22"/>
        <v>-31.100000000000023</v>
      </c>
      <c r="R65" s="10">
        <f t="shared" si="4"/>
        <v>-0.8822695035460999</v>
      </c>
    </row>
    <row r="66" spans="1:18">
      <c r="A66" s="7">
        <v>58</v>
      </c>
      <c r="B66" s="22" t="s">
        <v>80</v>
      </c>
      <c r="C66" s="9">
        <f>+'[1]2013 m sav pask su MMA1000'!C70</f>
        <v>17.55</v>
      </c>
      <c r="D66" s="9">
        <f>+'[1]2013 m sav pask su MMA1000'!D70</f>
        <v>1.5</v>
      </c>
      <c r="E66" s="9">
        <f>+'[1]2013 m sav pask su MMA1000'!E70</f>
        <v>19.05</v>
      </c>
      <c r="F66" s="10">
        <v>230.4</v>
      </c>
      <c r="G66" s="10">
        <f>+'[1]2013 m sav pask su MMA1000'!F70</f>
        <v>280.29999999999995</v>
      </c>
      <c r="H66" s="10">
        <f>+'[1]2013 m sav pask su MMA1000'!G70</f>
        <v>280.09999999999997</v>
      </c>
      <c r="I66" s="10">
        <f t="shared" si="5"/>
        <v>-7.1352122725642175E-2</v>
      </c>
      <c r="J66" s="10">
        <f t="shared" si="6"/>
        <v>-0.19999999999998863</v>
      </c>
      <c r="K66" s="10">
        <f t="shared" si="20"/>
        <v>23.341666666666665</v>
      </c>
      <c r="L66" s="10">
        <f t="shared" si="23"/>
        <v>259.5</v>
      </c>
      <c r="M66" s="10">
        <f t="shared" si="7"/>
        <v>21.625</v>
      </c>
      <c r="N66" s="10">
        <f t="shared" si="2"/>
        <v>12.630208333333329</v>
      </c>
      <c r="O66" s="10">
        <f t="shared" si="21"/>
        <v>29.099999999999994</v>
      </c>
      <c r="P66" s="10"/>
      <c r="Q66" s="10">
        <f t="shared" si="22"/>
        <v>-20.599999999999966</v>
      </c>
      <c r="R66" s="10">
        <f t="shared" si="4"/>
        <v>-0.88254194930381935</v>
      </c>
    </row>
    <row r="67" spans="1:18">
      <c r="A67" s="7">
        <v>59</v>
      </c>
      <c r="B67" s="22" t="s">
        <v>81</v>
      </c>
      <c r="C67" s="9">
        <f>+'[1]2013 m sav pask su MMA1000'!C71</f>
        <v>11.35</v>
      </c>
      <c r="D67" s="9">
        <f>+'[1]2013 m sav pask su MMA1000'!D71</f>
        <v>4.0000000000000036E-2</v>
      </c>
      <c r="E67" s="9">
        <f>+'[1]2013 m sav pask su MMA1000'!E71</f>
        <v>11.39</v>
      </c>
      <c r="F67" s="10">
        <v>156.9</v>
      </c>
      <c r="G67" s="10">
        <f>+'[1]2013 m sav pask su MMA1000'!F71</f>
        <v>193</v>
      </c>
      <c r="H67" s="10">
        <f>+'[1]2013 m sav pask su MMA1000'!G71</f>
        <v>191.5</v>
      </c>
      <c r="I67" s="10">
        <f t="shared" si="5"/>
        <v>-0.77720207253885576</v>
      </c>
      <c r="J67" s="10">
        <f t="shared" si="6"/>
        <v>-1.5</v>
      </c>
      <c r="K67" s="10">
        <f t="shared" si="20"/>
        <v>15.958333333333334</v>
      </c>
      <c r="L67" s="10">
        <f t="shared" si="23"/>
        <v>177.4</v>
      </c>
      <c r="M67" s="10">
        <f t="shared" si="7"/>
        <v>14.783333333333333</v>
      </c>
      <c r="N67" s="10">
        <f t="shared" si="2"/>
        <v>13.065646908859136</v>
      </c>
      <c r="O67" s="10">
        <f t="shared" si="21"/>
        <v>20.5</v>
      </c>
      <c r="P67" s="10"/>
      <c r="Q67" s="10">
        <f t="shared" si="22"/>
        <v>-14.099999999999994</v>
      </c>
      <c r="R67" s="10">
        <f t="shared" si="4"/>
        <v>-0.88355091383811946</v>
      </c>
    </row>
    <row r="68" spans="1:18">
      <c r="A68" s="7">
        <v>60</v>
      </c>
      <c r="B68" s="22" t="s">
        <v>82</v>
      </c>
      <c r="C68" s="9">
        <f>+'[1]2013 m sav pask su MMA1000'!C72</f>
        <v>14.5</v>
      </c>
      <c r="D68" s="9">
        <f>+'[1]2013 m sav pask su MMA1000'!D72</f>
        <v>-3.3</v>
      </c>
      <c r="E68" s="9">
        <f>+'[1]2013 m sav pask su MMA1000'!E72</f>
        <v>11.2</v>
      </c>
      <c r="F68" s="10">
        <v>196.4</v>
      </c>
      <c r="G68" s="10">
        <f>+'[1]2013 m sav pask su MMA1000'!F72</f>
        <v>183.5</v>
      </c>
      <c r="H68" s="10">
        <f>+'[1]2013 m sav pask su MMA1000'!G72</f>
        <v>179.5</v>
      </c>
      <c r="I68" s="10">
        <f t="shared" si="5"/>
        <v>-2.1798365122615735</v>
      </c>
      <c r="J68" s="10">
        <f t="shared" si="6"/>
        <v>-4</v>
      </c>
      <c r="K68" s="10">
        <f t="shared" si="20"/>
        <v>14.958333333333334</v>
      </c>
      <c r="L68" s="10">
        <f t="shared" si="23"/>
        <v>166.3</v>
      </c>
      <c r="M68" s="10">
        <f t="shared" si="7"/>
        <v>13.858333333333334</v>
      </c>
      <c r="N68" s="10">
        <f t="shared" si="2"/>
        <v>-15.325865580448067</v>
      </c>
      <c r="O68" s="10">
        <f t="shared" si="21"/>
        <v>-30.099999999999994</v>
      </c>
      <c r="P68" s="10"/>
      <c r="Q68" s="10">
        <f t="shared" si="22"/>
        <v>-13.199999999999989</v>
      </c>
      <c r="R68" s="10">
        <f t="shared" si="4"/>
        <v>-0.88245125348189468</v>
      </c>
    </row>
    <row r="69" spans="1:18">
      <c r="A69" s="7">
        <v>61</v>
      </c>
      <c r="B69" s="22" t="s">
        <v>83</v>
      </c>
      <c r="C69" s="9">
        <f>+'[1]2013 m sav pask su MMA1000'!C73</f>
        <v>15.75</v>
      </c>
      <c r="D69" s="9">
        <f>+'[1]2013 m sav pask su MMA1000'!D73</f>
        <v>-1.4299999999999997</v>
      </c>
      <c r="E69" s="9">
        <f>+'[1]2013 m sav pask su MMA1000'!E73</f>
        <v>14.32</v>
      </c>
      <c r="F69" s="10">
        <v>182.8</v>
      </c>
      <c r="G69" s="10">
        <f>+'[1]2013 m sav pask su MMA1000'!F73</f>
        <v>217.1</v>
      </c>
      <c r="H69" s="10">
        <f>+'[1]2013 m sav pask su MMA1000'!G73</f>
        <v>217.70000000000002</v>
      </c>
      <c r="I69" s="10">
        <f t="shared" si="5"/>
        <v>0.27637033625057938</v>
      </c>
      <c r="J69" s="10">
        <f t="shared" si="6"/>
        <v>0.60000000000002274</v>
      </c>
      <c r="K69" s="10">
        <f t="shared" si="20"/>
        <v>18.141666666666669</v>
      </c>
      <c r="L69" s="10">
        <f t="shared" si="23"/>
        <v>201.7</v>
      </c>
      <c r="M69" s="10">
        <f t="shared" si="7"/>
        <v>16.808333333333334</v>
      </c>
      <c r="N69" s="10">
        <f t="shared" si="2"/>
        <v>10.33916849015317</v>
      </c>
      <c r="O69" s="10">
        <f t="shared" si="21"/>
        <v>18.899999999999977</v>
      </c>
      <c r="P69" s="10"/>
      <c r="Q69" s="10">
        <f t="shared" si="22"/>
        <v>-16.000000000000028</v>
      </c>
      <c r="R69" s="10">
        <f t="shared" si="4"/>
        <v>-0.88194763435921253</v>
      </c>
    </row>
    <row r="70" spans="1:18">
      <c r="A70" s="7">
        <v>62</v>
      </c>
      <c r="B70" s="22" t="s">
        <v>84</v>
      </c>
      <c r="C70" s="9">
        <f>+'[1]2013 m sav pask su MMA1000'!C74</f>
        <v>15</v>
      </c>
      <c r="D70" s="9">
        <f>+'[1]2013 m sav pask su MMA1000'!D74</f>
        <v>-2.1399999999999997</v>
      </c>
      <c r="E70" s="9">
        <f>+'[1]2013 m sav pask su MMA1000'!E74</f>
        <v>12.86</v>
      </c>
      <c r="F70" s="10">
        <v>171.9</v>
      </c>
      <c r="G70" s="10">
        <f>+'[1]2013 m sav pask su MMA1000'!F74</f>
        <v>202.89999999999998</v>
      </c>
      <c r="H70" s="10">
        <f>+'[1]2013 m sav pask su MMA1000'!G74</f>
        <v>198.79999999999998</v>
      </c>
      <c r="I70" s="10">
        <f t="shared" si="5"/>
        <v>-2.0206998521439061</v>
      </c>
      <c r="J70" s="10">
        <f t="shared" si="6"/>
        <v>-4.0999999999999943</v>
      </c>
      <c r="K70" s="10">
        <f t="shared" si="20"/>
        <v>16.566666666666666</v>
      </c>
      <c r="L70" s="10">
        <f t="shared" si="23"/>
        <v>184.2</v>
      </c>
      <c r="M70" s="10">
        <f t="shared" si="7"/>
        <v>15.35</v>
      </c>
      <c r="N70" s="10">
        <f t="shared" si="2"/>
        <v>7.1553228621291396</v>
      </c>
      <c r="O70" s="10">
        <f t="shared" si="21"/>
        <v>12.299999999999983</v>
      </c>
      <c r="P70" s="10"/>
      <c r="Q70" s="10">
        <f t="shared" si="22"/>
        <v>-14.599999999999994</v>
      </c>
      <c r="R70" s="10">
        <f t="shared" si="4"/>
        <v>-0.88128772635814911</v>
      </c>
    </row>
    <row r="71" spans="1:18">
      <c r="A71" s="7">
        <v>63</v>
      </c>
      <c r="B71" s="23" t="s">
        <v>85</v>
      </c>
      <c r="C71" s="9">
        <f>+'[1]2013 m sav pask su MMA1000'!C75</f>
        <v>10</v>
      </c>
      <c r="D71" s="9">
        <f>+'[1]2013 m sav pask su MMA1000'!D75</f>
        <v>-1.85</v>
      </c>
      <c r="E71" s="9">
        <f>+'[1]2013 m sav pask su MMA1000'!E75</f>
        <v>8.15</v>
      </c>
      <c r="F71" s="10">
        <v>122.9</v>
      </c>
      <c r="G71" s="10">
        <f>+'[1]2013 m sav pask su MMA1000'!F75</f>
        <v>142.30000000000001</v>
      </c>
      <c r="H71" s="10">
        <f>+'[1]2013 m sav pask su MMA1000'!G75</f>
        <v>136.6</v>
      </c>
      <c r="I71" s="10">
        <f t="shared" si="5"/>
        <v>-4.0056219255095016</v>
      </c>
      <c r="J71" s="10">
        <f t="shared" si="6"/>
        <v>-5.7000000000000171</v>
      </c>
      <c r="K71" s="10">
        <f t="shared" si="20"/>
        <v>11.383333333333333</v>
      </c>
      <c r="L71" s="10">
        <f t="shared" si="23"/>
        <v>126.5</v>
      </c>
      <c r="M71" s="10">
        <f t="shared" si="7"/>
        <v>10.541666666666666</v>
      </c>
      <c r="N71" s="10">
        <f t="shared" si="2"/>
        <v>2.9292107404393732</v>
      </c>
      <c r="O71" s="10">
        <f t="shared" si="21"/>
        <v>3.5999999999999943</v>
      </c>
      <c r="P71" s="10"/>
      <c r="Q71" s="10">
        <f t="shared" si="22"/>
        <v>-10.099999999999994</v>
      </c>
      <c r="R71" s="10">
        <f t="shared" si="4"/>
        <v>-0.88726207906295684</v>
      </c>
    </row>
    <row r="72" spans="1:18" s="18" customFormat="1">
      <c r="A72" s="7">
        <v>64</v>
      </c>
      <c r="B72" s="22" t="s">
        <v>86</v>
      </c>
      <c r="C72" s="9">
        <f>+'[1]2013 m sav pask su MMA1000'!C76</f>
        <v>11.5</v>
      </c>
      <c r="D72" s="9">
        <f>+'[1]2013 m sav pask su MMA1000'!D76</f>
        <v>0</v>
      </c>
      <c r="E72" s="9">
        <f>+'[1]2013 m sav pask su MMA1000'!E76</f>
        <v>11.5</v>
      </c>
      <c r="F72" s="10">
        <v>155.4</v>
      </c>
      <c r="G72" s="10">
        <f>+'[1]2013 m sav pask su MMA1000'!F76</f>
        <v>188</v>
      </c>
      <c r="H72" s="10">
        <f>+'[1]2013 m sav pask su MMA1000'!G76</f>
        <v>182.5</v>
      </c>
      <c r="I72" s="10">
        <f t="shared" si="5"/>
        <v>-2.925531914893611</v>
      </c>
      <c r="J72" s="10">
        <f t="shared" si="6"/>
        <v>-5.5</v>
      </c>
      <c r="K72" s="10">
        <f t="shared" si="20"/>
        <v>15.208333333333334</v>
      </c>
      <c r="L72" s="10">
        <f t="shared" si="23"/>
        <v>169.1</v>
      </c>
      <c r="M72" s="10">
        <f t="shared" si="7"/>
        <v>14.091666666666667</v>
      </c>
      <c r="N72" s="10">
        <f t="shared" si="2"/>
        <v>8.8159588159588083</v>
      </c>
      <c r="O72" s="10">
        <f t="shared" si="21"/>
        <v>13.699999999999989</v>
      </c>
      <c r="P72" s="10"/>
      <c r="Q72" s="10">
        <f t="shared" si="22"/>
        <v>-13.400000000000006</v>
      </c>
      <c r="R72" s="10">
        <f t="shared" si="4"/>
        <v>-0.88109589041095937</v>
      </c>
    </row>
    <row r="73" spans="1:18">
      <c r="A73" s="7">
        <v>65</v>
      </c>
      <c r="B73" s="22" t="s">
        <v>87</v>
      </c>
      <c r="C73" s="9">
        <f>+'[1]2013 m sav pask su MMA1000'!C77</f>
        <v>21.25</v>
      </c>
      <c r="D73" s="9">
        <f>+'[1]2013 m sav pask su MMA1000'!D77</f>
        <v>-3.04</v>
      </c>
      <c r="E73" s="9">
        <f>+'[1]2013 m sav pask su MMA1000'!E77</f>
        <v>18.21</v>
      </c>
      <c r="F73" s="10">
        <v>213.2</v>
      </c>
      <c r="G73" s="10">
        <f>+'[1]2013 m sav pask su MMA1000'!F77</f>
        <v>250</v>
      </c>
      <c r="H73" s="10">
        <f>+'[1]2013 m sav pask su MMA1000'!G77</f>
        <v>247.4</v>
      </c>
      <c r="I73" s="10">
        <f t="shared" si="5"/>
        <v>-1.0400000000000063</v>
      </c>
      <c r="J73" s="10">
        <f t="shared" si="6"/>
        <v>-2.5999999999999943</v>
      </c>
      <c r="K73" s="10">
        <f t="shared" si="20"/>
        <v>20.616666666666667</v>
      </c>
      <c r="L73" s="10">
        <f t="shared" si="23"/>
        <v>229.2</v>
      </c>
      <c r="M73" s="10">
        <f t="shared" si="7"/>
        <v>19.099999999999998</v>
      </c>
      <c r="N73" s="10">
        <f t="shared" ref="N73:N77" si="24">(+L73*100/F73)-100</f>
        <v>7.5046904315197054</v>
      </c>
      <c r="O73" s="10">
        <f t="shared" si="21"/>
        <v>16</v>
      </c>
      <c r="P73" s="10"/>
      <c r="Q73" s="10">
        <f t="shared" si="22"/>
        <v>-18.200000000000017</v>
      </c>
      <c r="R73" s="10">
        <f t="shared" ref="R73:R77" si="25">+L73/(H73/12)-12</f>
        <v>-0.88278092158448018</v>
      </c>
    </row>
    <row r="74" spans="1:18">
      <c r="A74" s="7">
        <v>66</v>
      </c>
      <c r="B74" s="21" t="s">
        <v>88</v>
      </c>
      <c r="C74" s="9">
        <f>+'[1]2013 m sav pask su MMA1000'!C78</f>
        <v>12.75</v>
      </c>
      <c r="D74" s="9">
        <f>+'[1]2013 m sav pask su MMA1000'!D78</f>
        <v>-2.3199999999999998</v>
      </c>
      <c r="E74" s="9">
        <f>+'[1]2013 m sav pask su MMA1000'!E78</f>
        <v>10.43</v>
      </c>
      <c r="F74" s="10">
        <v>156.6</v>
      </c>
      <c r="G74" s="10">
        <f>+'[1]2013 m sav pask su MMA1000'!F78</f>
        <v>170.6</v>
      </c>
      <c r="H74" s="10">
        <f>+'[1]2013 m sav pask su MMA1000'!G78</f>
        <v>168.2</v>
      </c>
      <c r="I74" s="10">
        <f>+(H74*100/G74)-100</f>
        <v>-1.4067995310668238</v>
      </c>
      <c r="J74" s="10">
        <f>+H74-G74</f>
        <v>-2.4000000000000057</v>
      </c>
      <c r="K74" s="10">
        <f t="shared" si="20"/>
        <v>14.016666666666666</v>
      </c>
      <c r="L74" s="10">
        <f t="shared" si="23"/>
        <v>155.80000000000001</v>
      </c>
      <c r="M74" s="10">
        <f>+L74/12</f>
        <v>12.983333333333334</v>
      </c>
      <c r="N74" s="10">
        <f t="shared" si="24"/>
        <v>-0.51085568326945463</v>
      </c>
      <c r="O74" s="10">
        <f t="shared" si="21"/>
        <v>-0.79999999999998295</v>
      </c>
      <c r="P74" s="10"/>
      <c r="Q74" s="10">
        <f t="shared" si="22"/>
        <v>-12.399999999999977</v>
      </c>
      <c r="R74" s="10">
        <f t="shared" si="25"/>
        <v>-0.88466111771700184</v>
      </c>
    </row>
    <row r="75" spans="1:18">
      <c r="A75" s="7">
        <v>67</v>
      </c>
      <c r="B75" s="22" t="s">
        <v>89</v>
      </c>
      <c r="C75" s="9">
        <f>+'[1]2013 m sav pask su MMA1000'!C79</f>
        <v>19.25</v>
      </c>
      <c r="D75" s="9">
        <f>+'[1]2013 m sav pask su MMA1000'!D79</f>
        <v>-2.4499999999999997</v>
      </c>
      <c r="E75" s="9">
        <f>+'[1]2013 m sav pask su MMA1000'!E79</f>
        <v>16.8</v>
      </c>
      <c r="F75" s="10">
        <v>214.6</v>
      </c>
      <c r="G75" s="10">
        <f>+'[1]2013 m sav pask su MMA1000'!F79</f>
        <v>256.39999999999998</v>
      </c>
      <c r="H75" s="10">
        <f>+'[1]2013 m sav pask su MMA1000'!G79</f>
        <v>251.3</v>
      </c>
      <c r="I75" s="10">
        <f>+(H75*100/G75)-100</f>
        <v>-1.9890795631825142</v>
      </c>
      <c r="J75" s="10">
        <f>+H75-G75</f>
        <v>-5.0999999999999659</v>
      </c>
      <c r="K75" s="10">
        <f t="shared" si="20"/>
        <v>20.941666666666666</v>
      </c>
      <c r="L75" s="10">
        <f t="shared" si="23"/>
        <v>232.8</v>
      </c>
      <c r="M75" s="10">
        <f>+L75/12</f>
        <v>19.400000000000002</v>
      </c>
      <c r="N75" s="10">
        <f t="shared" si="24"/>
        <v>8.480894687791249</v>
      </c>
      <c r="O75" s="10">
        <f t="shared" si="21"/>
        <v>18.200000000000017</v>
      </c>
      <c r="P75" s="10"/>
      <c r="Q75" s="10">
        <f t="shared" si="22"/>
        <v>-18.5</v>
      </c>
      <c r="R75" s="10">
        <f t="shared" si="25"/>
        <v>-0.88340628730600734</v>
      </c>
    </row>
    <row r="76" spans="1:18" ht="22.5">
      <c r="A76" s="7">
        <v>68</v>
      </c>
      <c r="B76" s="24" t="s">
        <v>90</v>
      </c>
      <c r="C76" s="14">
        <f>SUM(C64:C75)</f>
        <v>316.14999999999998</v>
      </c>
      <c r="D76" s="14">
        <f>SUM(D64:D75)</f>
        <v>-53.150000000000006</v>
      </c>
      <c r="E76" s="14">
        <f t="shared" ref="E76:O76" si="26">SUM(E64:E75)</f>
        <v>263.00000000000006</v>
      </c>
      <c r="F76" s="14">
        <f t="shared" si="26"/>
        <v>5092.2</v>
      </c>
      <c r="G76" s="14">
        <f t="shared" si="26"/>
        <v>5577.7</v>
      </c>
      <c r="H76" s="14">
        <f t="shared" si="26"/>
        <v>5541.5</v>
      </c>
      <c r="I76" s="15">
        <f>+(H76*100/G76)-100</f>
        <v>-0.64901303404629118</v>
      </c>
      <c r="J76" s="15">
        <f>SUM(J64:J75)</f>
        <v>-36.199999999999932</v>
      </c>
      <c r="K76" s="15">
        <f t="shared" si="26"/>
        <v>461.79166666666652</v>
      </c>
      <c r="L76" s="15">
        <f>SUM(L64:L75)</f>
        <v>5134.0000000000009</v>
      </c>
      <c r="M76" s="15">
        <f t="shared" si="26"/>
        <v>427.83333333333343</v>
      </c>
      <c r="N76" s="15">
        <f t="shared" si="24"/>
        <v>0.82086328109660656</v>
      </c>
      <c r="O76" s="15">
        <f t="shared" si="26"/>
        <v>41.800000000000239</v>
      </c>
      <c r="P76" s="15"/>
      <c r="Q76" s="15">
        <f>SUM(Q64:Q75)</f>
        <v>-407.49999999999977</v>
      </c>
      <c r="R76" s="15">
        <f t="shared" si="25"/>
        <v>-0.88243255436253598</v>
      </c>
    </row>
    <row r="77" spans="1:18">
      <c r="A77" s="7">
        <v>69</v>
      </c>
      <c r="B77" s="24" t="s">
        <v>91</v>
      </c>
      <c r="C77" s="25">
        <f t="shared" ref="C77:M77" si="27">+C20+C46+C63+C76</f>
        <v>1952.7800000000002</v>
      </c>
      <c r="D77" s="15">
        <f t="shared" si="27"/>
        <v>-567.79999999999995</v>
      </c>
      <c r="E77" s="25">
        <f t="shared" si="27"/>
        <v>1384.98</v>
      </c>
      <c r="F77" s="25">
        <f t="shared" si="27"/>
        <v>21573.3</v>
      </c>
      <c r="G77" s="25">
        <f t="shared" si="27"/>
        <v>25588.499999999996</v>
      </c>
      <c r="H77" s="25">
        <f t="shared" si="27"/>
        <v>25131.599999999999</v>
      </c>
      <c r="I77" s="15">
        <f>+(H77*100/G77)-100</f>
        <v>-1.7855677355061772</v>
      </c>
      <c r="J77" s="15">
        <f>+J20+J46+J63+J76</f>
        <v>-456.89999999999986</v>
      </c>
      <c r="K77" s="15">
        <f t="shared" si="27"/>
        <v>2094.3000000000002</v>
      </c>
      <c r="L77" s="15">
        <f>+L20+L46+L63+L76</f>
        <v>23321.4</v>
      </c>
      <c r="M77" s="15">
        <f t="shared" si="27"/>
        <v>1943.4500000000003</v>
      </c>
      <c r="N77" s="15">
        <f t="shared" si="24"/>
        <v>8.1030718527068188</v>
      </c>
      <c r="O77" s="15">
        <f>+O20+O46+O63+O76</f>
        <v>1748.1000000000001</v>
      </c>
      <c r="P77" s="15"/>
      <c r="Q77" s="25">
        <f>+Q20+Q46+Q63+Q76</f>
        <v>-1810.1999999999991</v>
      </c>
      <c r="R77" s="15">
        <f t="shared" si="25"/>
        <v>-0.86434608222317522</v>
      </c>
    </row>
    <row r="78" spans="1:18">
      <c r="C78" s="26"/>
    </row>
    <row r="79" spans="1:18" hidden="1">
      <c r="B79" s="27" t="s">
        <v>92</v>
      </c>
    </row>
    <row r="80" spans="1:18" hidden="1">
      <c r="A80" s="7">
        <v>1</v>
      </c>
      <c r="B80" s="28" t="s">
        <v>93</v>
      </c>
      <c r="C80" s="9"/>
      <c r="D80" s="9"/>
      <c r="E80" s="9"/>
      <c r="F80" s="9">
        <v>135.30000000000001</v>
      </c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hidden="1">
      <c r="A81" s="7">
        <v>2</v>
      </c>
      <c r="B81" s="28" t="s">
        <v>94</v>
      </c>
      <c r="C81" s="9"/>
      <c r="D81" s="9"/>
      <c r="E81" s="9"/>
      <c r="F81" s="9">
        <v>67.400000000000006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hidden="1">
      <c r="A82" s="7">
        <v>3</v>
      </c>
      <c r="B82" s="28" t="s">
        <v>95</v>
      </c>
      <c r="C82" s="9"/>
      <c r="D82" s="9"/>
      <c r="E82" s="9"/>
      <c r="F82" s="9">
        <v>84.4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hidden="1">
      <c r="A83" s="7">
        <v>4</v>
      </c>
      <c r="B83" s="28" t="s">
        <v>96</v>
      </c>
      <c r="C83" s="9"/>
      <c r="D83" s="9"/>
      <c r="E83" s="9"/>
      <c r="F83" s="9">
        <v>96.3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hidden="1">
      <c r="A84" s="9"/>
      <c r="B84" s="29" t="s">
        <v>97</v>
      </c>
      <c r="C84" s="9"/>
      <c r="D84" s="14"/>
      <c r="E84" s="14"/>
      <c r="F84" s="14">
        <f>SUM(F80:F83)</f>
        <v>383.40000000000003</v>
      </c>
      <c r="G84" s="14"/>
      <c r="H84" s="14"/>
      <c r="I84" s="14"/>
      <c r="J84" s="14"/>
      <c r="K84" s="9"/>
      <c r="L84" s="9"/>
      <c r="M84" s="9"/>
      <c r="N84" s="9"/>
      <c r="O84" s="9"/>
      <c r="P84" s="9"/>
      <c r="Q84" s="9"/>
      <c r="R84" s="9"/>
    </row>
    <row r="85" spans="1:18" hidden="1">
      <c r="A85" s="287" t="s">
        <v>98</v>
      </c>
      <c r="B85" s="287"/>
      <c r="C85" s="25">
        <f>+C77</f>
        <v>1952.7800000000002</v>
      </c>
      <c r="D85" s="15">
        <f>+D77+D84</f>
        <v>-567.79999999999995</v>
      </c>
      <c r="E85" s="25">
        <f>+E77+E84</f>
        <v>1384.98</v>
      </c>
      <c r="F85" s="15">
        <f>+F77+F84</f>
        <v>21956.7</v>
      </c>
      <c r="G85" s="15"/>
      <c r="H85" s="15"/>
      <c r="I85" s="15"/>
      <c r="J85" s="15"/>
      <c r="K85" s="9"/>
      <c r="L85" s="9"/>
      <c r="M85" s="9"/>
      <c r="N85" s="9"/>
      <c r="O85" s="9"/>
      <c r="P85" s="9"/>
      <c r="Q85" s="9"/>
      <c r="R85" s="9"/>
    </row>
    <row r="86" spans="1:18">
      <c r="C86" s="11"/>
    </row>
  </sheetData>
  <mergeCells count="21">
    <mergeCell ref="A85:B85"/>
    <mergeCell ref="L5:L7"/>
    <mergeCell ref="M5:M7"/>
    <mergeCell ref="N5:O6"/>
    <mergeCell ref="P5:R6"/>
    <mergeCell ref="G6:G7"/>
    <mergeCell ref="H6:H7"/>
    <mergeCell ref="I6:I7"/>
    <mergeCell ref="J6:J7"/>
    <mergeCell ref="K6:K7"/>
    <mergeCell ref="A1:P1"/>
    <mergeCell ref="A2:R2"/>
    <mergeCell ref="A3:R3"/>
    <mergeCell ref="A5:A7"/>
    <mergeCell ref="B5:B7"/>
    <mergeCell ref="C5:C7"/>
    <mergeCell ref="D5:D7"/>
    <mergeCell ref="E5:E7"/>
    <mergeCell ref="F5:F7"/>
    <mergeCell ref="G5:K5"/>
    <mergeCell ref="Q1:R1"/>
  </mergeCells>
  <pageMargins left="0.70866141732283472" right="0.70866141732283472" top="0" bottom="0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L70"/>
  <sheetViews>
    <sheetView workbookViewId="0">
      <selection activeCell="AO23" sqref="AO23"/>
    </sheetView>
  </sheetViews>
  <sheetFormatPr defaultRowHeight="11.25"/>
  <cols>
    <col min="1" max="1" width="2.5703125" style="71" customWidth="1"/>
    <col min="2" max="2" width="13.28515625" style="71" customWidth="1"/>
    <col min="3" max="3" width="0.140625" style="71" hidden="1" customWidth="1"/>
    <col min="4" max="4" width="3.5703125" style="71" hidden="1" customWidth="1"/>
    <col min="5" max="5" width="4.28515625" style="71" hidden="1" customWidth="1"/>
    <col min="6" max="6" width="9.85546875" style="71" hidden="1" customWidth="1"/>
    <col min="7" max="7" width="7.140625" style="71" hidden="1" customWidth="1"/>
    <col min="8" max="8" width="6" style="71" hidden="1" customWidth="1"/>
    <col min="9" max="9" width="6.28515625" style="71" customWidth="1"/>
    <col min="10" max="10" width="5.85546875" style="71" customWidth="1"/>
    <col min="11" max="11" width="5.42578125" style="71" customWidth="1"/>
    <col min="12" max="12" width="4.5703125" style="71" customWidth="1"/>
    <col min="13" max="13" width="5.7109375" style="71" customWidth="1"/>
    <col min="14" max="14" width="4.5703125" style="71" hidden="1" customWidth="1"/>
    <col min="15" max="15" width="4" style="71" hidden="1" customWidth="1"/>
    <col min="16" max="17" width="4.140625" style="71" hidden="1" customWidth="1"/>
    <col min="18" max="18" width="0.140625" style="71" hidden="1" customWidth="1"/>
    <col min="19" max="19" width="4.140625" style="71" hidden="1" customWidth="1"/>
    <col min="20" max="20" width="3.7109375" style="71" hidden="1" customWidth="1"/>
    <col min="21" max="21" width="5.28515625" style="71" customWidth="1"/>
    <col min="22" max="22" width="5.42578125" style="71" customWidth="1"/>
    <col min="23" max="23" width="6.42578125" style="71" customWidth="1"/>
    <col min="24" max="24" width="5" style="71" customWidth="1"/>
    <col min="25" max="25" width="6.28515625" style="71" customWidth="1"/>
    <col min="26" max="26" width="6.85546875" style="71" customWidth="1"/>
    <col min="27" max="27" width="6.28515625" style="71" customWidth="1"/>
    <col min="28" max="28" width="6.85546875" style="71" customWidth="1"/>
    <col min="29" max="31" width="4.85546875" style="71" customWidth="1"/>
    <col min="32" max="32" width="6" style="71" customWidth="1"/>
    <col min="33" max="33" width="6.28515625" style="71" customWidth="1"/>
    <col min="34" max="34" width="5.42578125" style="71" customWidth="1"/>
    <col min="35" max="35" width="6.42578125" style="71" customWidth="1"/>
    <col min="36" max="36" width="6.7109375" style="71" customWidth="1"/>
    <col min="37" max="37" width="6.5703125" style="71" customWidth="1"/>
    <col min="38" max="256" width="9.140625" style="71"/>
    <col min="257" max="257" width="2.5703125" style="71" customWidth="1"/>
    <col min="258" max="258" width="11.28515625" style="71" customWidth="1"/>
    <col min="259" max="264" width="0" style="71" hidden="1" customWidth="1"/>
    <col min="265" max="265" width="6.28515625" style="71" customWidth="1"/>
    <col min="266" max="266" width="5.85546875" style="71" customWidth="1"/>
    <col min="267" max="267" width="5.42578125" style="71" customWidth="1"/>
    <col min="268" max="268" width="5.28515625" style="71" customWidth="1"/>
    <col min="269" max="269" width="5.7109375" style="71" customWidth="1"/>
    <col min="270" max="276" width="0" style="71" hidden="1" customWidth="1"/>
    <col min="277" max="277" width="5.28515625" style="71" customWidth="1"/>
    <col min="278" max="278" width="5.42578125" style="71" customWidth="1"/>
    <col min="279" max="279" width="6.42578125" style="71" customWidth="1"/>
    <col min="280" max="280" width="5" style="71" customWidth="1"/>
    <col min="281" max="281" width="6.28515625" style="71" customWidth="1"/>
    <col min="282" max="282" width="6.85546875" style="71" customWidth="1"/>
    <col min="283" max="283" width="6.28515625" style="71" customWidth="1"/>
    <col min="284" max="284" width="6.85546875" style="71" customWidth="1"/>
    <col min="285" max="288" width="6" style="71" customWidth="1"/>
    <col min="289" max="289" width="6.28515625" style="71" customWidth="1"/>
    <col min="290" max="290" width="5.42578125" style="71" customWidth="1"/>
    <col min="291" max="291" width="6.42578125" style="71" customWidth="1"/>
    <col min="292" max="292" width="6.7109375" style="71" customWidth="1"/>
    <col min="293" max="293" width="6.5703125" style="71" customWidth="1"/>
    <col min="294" max="512" width="9.140625" style="71"/>
    <col min="513" max="513" width="2.5703125" style="71" customWidth="1"/>
    <col min="514" max="514" width="11.28515625" style="71" customWidth="1"/>
    <col min="515" max="520" width="0" style="71" hidden="1" customWidth="1"/>
    <col min="521" max="521" width="6.28515625" style="71" customWidth="1"/>
    <col min="522" max="522" width="5.85546875" style="71" customWidth="1"/>
    <col min="523" max="523" width="5.42578125" style="71" customWidth="1"/>
    <col min="524" max="524" width="5.28515625" style="71" customWidth="1"/>
    <col min="525" max="525" width="5.7109375" style="71" customWidth="1"/>
    <col min="526" max="532" width="0" style="71" hidden="1" customWidth="1"/>
    <col min="533" max="533" width="5.28515625" style="71" customWidth="1"/>
    <col min="534" max="534" width="5.42578125" style="71" customWidth="1"/>
    <col min="535" max="535" width="6.42578125" style="71" customWidth="1"/>
    <col min="536" max="536" width="5" style="71" customWidth="1"/>
    <col min="537" max="537" width="6.28515625" style="71" customWidth="1"/>
    <col min="538" max="538" width="6.85546875" style="71" customWidth="1"/>
    <col min="539" max="539" width="6.28515625" style="71" customWidth="1"/>
    <col min="540" max="540" width="6.85546875" style="71" customWidth="1"/>
    <col min="541" max="544" width="6" style="71" customWidth="1"/>
    <col min="545" max="545" width="6.28515625" style="71" customWidth="1"/>
    <col min="546" max="546" width="5.42578125" style="71" customWidth="1"/>
    <col min="547" max="547" width="6.42578125" style="71" customWidth="1"/>
    <col min="548" max="548" width="6.7109375" style="71" customWidth="1"/>
    <col min="549" max="549" width="6.5703125" style="71" customWidth="1"/>
    <col min="550" max="768" width="9.140625" style="71"/>
    <col min="769" max="769" width="2.5703125" style="71" customWidth="1"/>
    <col min="770" max="770" width="11.28515625" style="71" customWidth="1"/>
    <col min="771" max="776" width="0" style="71" hidden="1" customWidth="1"/>
    <col min="777" max="777" width="6.28515625" style="71" customWidth="1"/>
    <col min="778" max="778" width="5.85546875" style="71" customWidth="1"/>
    <col min="779" max="779" width="5.42578125" style="71" customWidth="1"/>
    <col min="780" max="780" width="5.28515625" style="71" customWidth="1"/>
    <col min="781" max="781" width="5.7109375" style="71" customWidth="1"/>
    <col min="782" max="788" width="0" style="71" hidden="1" customWidth="1"/>
    <col min="789" max="789" width="5.28515625" style="71" customWidth="1"/>
    <col min="790" max="790" width="5.42578125" style="71" customWidth="1"/>
    <col min="791" max="791" width="6.42578125" style="71" customWidth="1"/>
    <col min="792" max="792" width="5" style="71" customWidth="1"/>
    <col min="793" max="793" width="6.28515625" style="71" customWidth="1"/>
    <col min="794" max="794" width="6.85546875" style="71" customWidth="1"/>
    <col min="795" max="795" width="6.28515625" style="71" customWidth="1"/>
    <col min="796" max="796" width="6.85546875" style="71" customWidth="1"/>
    <col min="797" max="800" width="6" style="71" customWidth="1"/>
    <col min="801" max="801" width="6.28515625" style="71" customWidth="1"/>
    <col min="802" max="802" width="5.42578125" style="71" customWidth="1"/>
    <col min="803" max="803" width="6.42578125" style="71" customWidth="1"/>
    <col min="804" max="804" width="6.7109375" style="71" customWidth="1"/>
    <col min="805" max="805" width="6.5703125" style="71" customWidth="1"/>
    <col min="806" max="1024" width="9.140625" style="71"/>
    <col min="1025" max="1025" width="2.5703125" style="71" customWidth="1"/>
    <col min="1026" max="1026" width="11.28515625" style="71" customWidth="1"/>
    <col min="1027" max="1032" width="0" style="71" hidden="1" customWidth="1"/>
    <col min="1033" max="1033" width="6.28515625" style="71" customWidth="1"/>
    <col min="1034" max="1034" width="5.85546875" style="71" customWidth="1"/>
    <col min="1035" max="1035" width="5.42578125" style="71" customWidth="1"/>
    <col min="1036" max="1036" width="5.28515625" style="71" customWidth="1"/>
    <col min="1037" max="1037" width="5.7109375" style="71" customWidth="1"/>
    <col min="1038" max="1044" width="0" style="71" hidden="1" customWidth="1"/>
    <col min="1045" max="1045" width="5.28515625" style="71" customWidth="1"/>
    <col min="1046" max="1046" width="5.42578125" style="71" customWidth="1"/>
    <col min="1047" max="1047" width="6.42578125" style="71" customWidth="1"/>
    <col min="1048" max="1048" width="5" style="71" customWidth="1"/>
    <col min="1049" max="1049" width="6.28515625" style="71" customWidth="1"/>
    <col min="1050" max="1050" width="6.85546875" style="71" customWidth="1"/>
    <col min="1051" max="1051" width="6.28515625" style="71" customWidth="1"/>
    <col min="1052" max="1052" width="6.85546875" style="71" customWidth="1"/>
    <col min="1053" max="1056" width="6" style="71" customWidth="1"/>
    <col min="1057" max="1057" width="6.28515625" style="71" customWidth="1"/>
    <col min="1058" max="1058" width="5.42578125" style="71" customWidth="1"/>
    <col min="1059" max="1059" width="6.42578125" style="71" customWidth="1"/>
    <col min="1060" max="1060" width="6.7109375" style="71" customWidth="1"/>
    <col min="1061" max="1061" width="6.5703125" style="71" customWidth="1"/>
    <col min="1062" max="1280" width="9.140625" style="71"/>
    <col min="1281" max="1281" width="2.5703125" style="71" customWidth="1"/>
    <col min="1282" max="1282" width="11.28515625" style="71" customWidth="1"/>
    <col min="1283" max="1288" width="0" style="71" hidden="1" customWidth="1"/>
    <col min="1289" max="1289" width="6.28515625" style="71" customWidth="1"/>
    <col min="1290" max="1290" width="5.85546875" style="71" customWidth="1"/>
    <col min="1291" max="1291" width="5.42578125" style="71" customWidth="1"/>
    <col min="1292" max="1292" width="5.28515625" style="71" customWidth="1"/>
    <col min="1293" max="1293" width="5.7109375" style="71" customWidth="1"/>
    <col min="1294" max="1300" width="0" style="71" hidden="1" customWidth="1"/>
    <col min="1301" max="1301" width="5.28515625" style="71" customWidth="1"/>
    <col min="1302" max="1302" width="5.42578125" style="71" customWidth="1"/>
    <col min="1303" max="1303" width="6.42578125" style="71" customWidth="1"/>
    <col min="1304" max="1304" width="5" style="71" customWidth="1"/>
    <col min="1305" max="1305" width="6.28515625" style="71" customWidth="1"/>
    <col min="1306" max="1306" width="6.85546875" style="71" customWidth="1"/>
    <col min="1307" max="1307" width="6.28515625" style="71" customWidth="1"/>
    <col min="1308" max="1308" width="6.85546875" style="71" customWidth="1"/>
    <col min="1309" max="1312" width="6" style="71" customWidth="1"/>
    <col min="1313" max="1313" width="6.28515625" style="71" customWidth="1"/>
    <col min="1314" max="1314" width="5.42578125" style="71" customWidth="1"/>
    <col min="1315" max="1315" width="6.42578125" style="71" customWidth="1"/>
    <col min="1316" max="1316" width="6.7109375" style="71" customWidth="1"/>
    <col min="1317" max="1317" width="6.5703125" style="71" customWidth="1"/>
    <col min="1318" max="1536" width="9.140625" style="71"/>
    <col min="1537" max="1537" width="2.5703125" style="71" customWidth="1"/>
    <col min="1538" max="1538" width="11.28515625" style="71" customWidth="1"/>
    <col min="1539" max="1544" width="0" style="71" hidden="1" customWidth="1"/>
    <col min="1545" max="1545" width="6.28515625" style="71" customWidth="1"/>
    <col min="1546" max="1546" width="5.85546875" style="71" customWidth="1"/>
    <col min="1547" max="1547" width="5.42578125" style="71" customWidth="1"/>
    <col min="1548" max="1548" width="5.28515625" style="71" customWidth="1"/>
    <col min="1549" max="1549" width="5.7109375" style="71" customWidth="1"/>
    <col min="1550" max="1556" width="0" style="71" hidden="1" customWidth="1"/>
    <col min="1557" max="1557" width="5.28515625" style="71" customWidth="1"/>
    <col min="1558" max="1558" width="5.42578125" style="71" customWidth="1"/>
    <col min="1559" max="1559" width="6.42578125" style="71" customWidth="1"/>
    <col min="1560" max="1560" width="5" style="71" customWidth="1"/>
    <col min="1561" max="1561" width="6.28515625" style="71" customWidth="1"/>
    <col min="1562" max="1562" width="6.85546875" style="71" customWidth="1"/>
    <col min="1563" max="1563" width="6.28515625" style="71" customWidth="1"/>
    <col min="1564" max="1564" width="6.85546875" style="71" customWidth="1"/>
    <col min="1565" max="1568" width="6" style="71" customWidth="1"/>
    <col min="1569" max="1569" width="6.28515625" style="71" customWidth="1"/>
    <col min="1570" max="1570" width="5.42578125" style="71" customWidth="1"/>
    <col min="1571" max="1571" width="6.42578125" style="71" customWidth="1"/>
    <col min="1572" max="1572" width="6.7109375" style="71" customWidth="1"/>
    <col min="1573" max="1573" width="6.5703125" style="71" customWidth="1"/>
    <col min="1574" max="1792" width="9.140625" style="71"/>
    <col min="1793" max="1793" width="2.5703125" style="71" customWidth="1"/>
    <col min="1794" max="1794" width="11.28515625" style="71" customWidth="1"/>
    <col min="1795" max="1800" width="0" style="71" hidden="1" customWidth="1"/>
    <col min="1801" max="1801" width="6.28515625" style="71" customWidth="1"/>
    <col min="1802" max="1802" width="5.85546875" style="71" customWidth="1"/>
    <col min="1803" max="1803" width="5.42578125" style="71" customWidth="1"/>
    <col min="1804" max="1804" width="5.28515625" style="71" customWidth="1"/>
    <col min="1805" max="1805" width="5.7109375" style="71" customWidth="1"/>
    <col min="1806" max="1812" width="0" style="71" hidden="1" customWidth="1"/>
    <col min="1813" max="1813" width="5.28515625" style="71" customWidth="1"/>
    <col min="1814" max="1814" width="5.42578125" style="71" customWidth="1"/>
    <col min="1815" max="1815" width="6.42578125" style="71" customWidth="1"/>
    <col min="1816" max="1816" width="5" style="71" customWidth="1"/>
    <col min="1817" max="1817" width="6.28515625" style="71" customWidth="1"/>
    <col min="1818" max="1818" width="6.85546875" style="71" customWidth="1"/>
    <col min="1819" max="1819" width="6.28515625" style="71" customWidth="1"/>
    <col min="1820" max="1820" width="6.85546875" style="71" customWidth="1"/>
    <col min="1821" max="1824" width="6" style="71" customWidth="1"/>
    <col min="1825" max="1825" width="6.28515625" style="71" customWidth="1"/>
    <col min="1826" max="1826" width="5.42578125" style="71" customWidth="1"/>
    <col min="1827" max="1827" width="6.42578125" style="71" customWidth="1"/>
    <col min="1828" max="1828" width="6.7109375" style="71" customWidth="1"/>
    <col min="1829" max="1829" width="6.5703125" style="71" customWidth="1"/>
    <col min="1830" max="2048" width="9.140625" style="71"/>
    <col min="2049" max="2049" width="2.5703125" style="71" customWidth="1"/>
    <col min="2050" max="2050" width="11.28515625" style="71" customWidth="1"/>
    <col min="2051" max="2056" width="0" style="71" hidden="1" customWidth="1"/>
    <col min="2057" max="2057" width="6.28515625" style="71" customWidth="1"/>
    <col min="2058" max="2058" width="5.85546875" style="71" customWidth="1"/>
    <col min="2059" max="2059" width="5.42578125" style="71" customWidth="1"/>
    <col min="2060" max="2060" width="5.28515625" style="71" customWidth="1"/>
    <col min="2061" max="2061" width="5.7109375" style="71" customWidth="1"/>
    <col min="2062" max="2068" width="0" style="71" hidden="1" customWidth="1"/>
    <col min="2069" max="2069" width="5.28515625" style="71" customWidth="1"/>
    <col min="2070" max="2070" width="5.42578125" style="71" customWidth="1"/>
    <col min="2071" max="2071" width="6.42578125" style="71" customWidth="1"/>
    <col min="2072" max="2072" width="5" style="71" customWidth="1"/>
    <col min="2073" max="2073" width="6.28515625" style="71" customWidth="1"/>
    <col min="2074" max="2074" width="6.85546875" style="71" customWidth="1"/>
    <col min="2075" max="2075" width="6.28515625" style="71" customWidth="1"/>
    <col min="2076" max="2076" width="6.85546875" style="71" customWidth="1"/>
    <col min="2077" max="2080" width="6" style="71" customWidth="1"/>
    <col min="2081" max="2081" width="6.28515625" style="71" customWidth="1"/>
    <col min="2082" max="2082" width="5.42578125" style="71" customWidth="1"/>
    <col min="2083" max="2083" width="6.42578125" style="71" customWidth="1"/>
    <col min="2084" max="2084" width="6.7109375" style="71" customWidth="1"/>
    <col min="2085" max="2085" width="6.5703125" style="71" customWidth="1"/>
    <col min="2086" max="2304" width="9.140625" style="71"/>
    <col min="2305" max="2305" width="2.5703125" style="71" customWidth="1"/>
    <col min="2306" max="2306" width="11.28515625" style="71" customWidth="1"/>
    <col min="2307" max="2312" width="0" style="71" hidden="1" customWidth="1"/>
    <col min="2313" max="2313" width="6.28515625" style="71" customWidth="1"/>
    <col min="2314" max="2314" width="5.85546875" style="71" customWidth="1"/>
    <col min="2315" max="2315" width="5.42578125" style="71" customWidth="1"/>
    <col min="2316" max="2316" width="5.28515625" style="71" customWidth="1"/>
    <col min="2317" max="2317" width="5.7109375" style="71" customWidth="1"/>
    <col min="2318" max="2324" width="0" style="71" hidden="1" customWidth="1"/>
    <col min="2325" max="2325" width="5.28515625" style="71" customWidth="1"/>
    <col min="2326" max="2326" width="5.42578125" style="71" customWidth="1"/>
    <col min="2327" max="2327" width="6.42578125" style="71" customWidth="1"/>
    <col min="2328" max="2328" width="5" style="71" customWidth="1"/>
    <col min="2329" max="2329" width="6.28515625" style="71" customWidth="1"/>
    <col min="2330" max="2330" width="6.85546875" style="71" customWidth="1"/>
    <col min="2331" max="2331" width="6.28515625" style="71" customWidth="1"/>
    <col min="2332" max="2332" width="6.85546875" style="71" customWidth="1"/>
    <col min="2333" max="2336" width="6" style="71" customWidth="1"/>
    <col min="2337" max="2337" width="6.28515625" style="71" customWidth="1"/>
    <col min="2338" max="2338" width="5.42578125" style="71" customWidth="1"/>
    <col min="2339" max="2339" width="6.42578125" style="71" customWidth="1"/>
    <col min="2340" max="2340" width="6.7109375" style="71" customWidth="1"/>
    <col min="2341" max="2341" width="6.5703125" style="71" customWidth="1"/>
    <col min="2342" max="2560" width="9.140625" style="71"/>
    <col min="2561" max="2561" width="2.5703125" style="71" customWidth="1"/>
    <col min="2562" max="2562" width="11.28515625" style="71" customWidth="1"/>
    <col min="2563" max="2568" width="0" style="71" hidden="1" customWidth="1"/>
    <col min="2569" max="2569" width="6.28515625" style="71" customWidth="1"/>
    <col min="2570" max="2570" width="5.85546875" style="71" customWidth="1"/>
    <col min="2571" max="2571" width="5.42578125" style="71" customWidth="1"/>
    <col min="2572" max="2572" width="5.28515625" style="71" customWidth="1"/>
    <col min="2573" max="2573" width="5.7109375" style="71" customWidth="1"/>
    <col min="2574" max="2580" width="0" style="71" hidden="1" customWidth="1"/>
    <col min="2581" max="2581" width="5.28515625" style="71" customWidth="1"/>
    <col min="2582" max="2582" width="5.42578125" style="71" customWidth="1"/>
    <col min="2583" max="2583" width="6.42578125" style="71" customWidth="1"/>
    <col min="2584" max="2584" width="5" style="71" customWidth="1"/>
    <col min="2585" max="2585" width="6.28515625" style="71" customWidth="1"/>
    <col min="2586" max="2586" width="6.85546875" style="71" customWidth="1"/>
    <col min="2587" max="2587" width="6.28515625" style="71" customWidth="1"/>
    <col min="2588" max="2588" width="6.85546875" style="71" customWidth="1"/>
    <col min="2589" max="2592" width="6" style="71" customWidth="1"/>
    <col min="2593" max="2593" width="6.28515625" style="71" customWidth="1"/>
    <col min="2594" max="2594" width="5.42578125" style="71" customWidth="1"/>
    <col min="2595" max="2595" width="6.42578125" style="71" customWidth="1"/>
    <col min="2596" max="2596" width="6.7109375" style="71" customWidth="1"/>
    <col min="2597" max="2597" width="6.5703125" style="71" customWidth="1"/>
    <col min="2598" max="2816" width="9.140625" style="71"/>
    <col min="2817" max="2817" width="2.5703125" style="71" customWidth="1"/>
    <col min="2818" max="2818" width="11.28515625" style="71" customWidth="1"/>
    <col min="2819" max="2824" width="0" style="71" hidden="1" customWidth="1"/>
    <col min="2825" max="2825" width="6.28515625" style="71" customWidth="1"/>
    <col min="2826" max="2826" width="5.85546875" style="71" customWidth="1"/>
    <col min="2827" max="2827" width="5.42578125" style="71" customWidth="1"/>
    <col min="2828" max="2828" width="5.28515625" style="71" customWidth="1"/>
    <col min="2829" max="2829" width="5.7109375" style="71" customWidth="1"/>
    <col min="2830" max="2836" width="0" style="71" hidden="1" customWidth="1"/>
    <col min="2837" max="2837" width="5.28515625" style="71" customWidth="1"/>
    <col min="2838" max="2838" width="5.42578125" style="71" customWidth="1"/>
    <col min="2839" max="2839" width="6.42578125" style="71" customWidth="1"/>
    <col min="2840" max="2840" width="5" style="71" customWidth="1"/>
    <col min="2841" max="2841" width="6.28515625" style="71" customWidth="1"/>
    <col min="2842" max="2842" width="6.85546875" style="71" customWidth="1"/>
    <col min="2843" max="2843" width="6.28515625" style="71" customWidth="1"/>
    <col min="2844" max="2844" width="6.85546875" style="71" customWidth="1"/>
    <col min="2845" max="2848" width="6" style="71" customWidth="1"/>
    <col min="2849" max="2849" width="6.28515625" style="71" customWidth="1"/>
    <col min="2850" max="2850" width="5.42578125" style="71" customWidth="1"/>
    <col min="2851" max="2851" width="6.42578125" style="71" customWidth="1"/>
    <col min="2852" max="2852" width="6.7109375" style="71" customWidth="1"/>
    <col min="2853" max="2853" width="6.5703125" style="71" customWidth="1"/>
    <col min="2854" max="3072" width="9.140625" style="71"/>
    <col min="3073" max="3073" width="2.5703125" style="71" customWidth="1"/>
    <col min="3074" max="3074" width="11.28515625" style="71" customWidth="1"/>
    <col min="3075" max="3080" width="0" style="71" hidden="1" customWidth="1"/>
    <col min="3081" max="3081" width="6.28515625" style="71" customWidth="1"/>
    <col min="3082" max="3082" width="5.85546875" style="71" customWidth="1"/>
    <col min="3083" max="3083" width="5.42578125" style="71" customWidth="1"/>
    <col min="3084" max="3084" width="5.28515625" style="71" customWidth="1"/>
    <col min="3085" max="3085" width="5.7109375" style="71" customWidth="1"/>
    <col min="3086" max="3092" width="0" style="71" hidden="1" customWidth="1"/>
    <col min="3093" max="3093" width="5.28515625" style="71" customWidth="1"/>
    <col min="3094" max="3094" width="5.42578125" style="71" customWidth="1"/>
    <col min="3095" max="3095" width="6.42578125" style="71" customWidth="1"/>
    <col min="3096" max="3096" width="5" style="71" customWidth="1"/>
    <col min="3097" max="3097" width="6.28515625" style="71" customWidth="1"/>
    <col min="3098" max="3098" width="6.85546875" style="71" customWidth="1"/>
    <col min="3099" max="3099" width="6.28515625" style="71" customWidth="1"/>
    <col min="3100" max="3100" width="6.85546875" style="71" customWidth="1"/>
    <col min="3101" max="3104" width="6" style="71" customWidth="1"/>
    <col min="3105" max="3105" width="6.28515625" style="71" customWidth="1"/>
    <col min="3106" max="3106" width="5.42578125" style="71" customWidth="1"/>
    <col min="3107" max="3107" width="6.42578125" style="71" customWidth="1"/>
    <col min="3108" max="3108" width="6.7109375" style="71" customWidth="1"/>
    <col min="3109" max="3109" width="6.5703125" style="71" customWidth="1"/>
    <col min="3110" max="3328" width="9.140625" style="71"/>
    <col min="3329" max="3329" width="2.5703125" style="71" customWidth="1"/>
    <col min="3330" max="3330" width="11.28515625" style="71" customWidth="1"/>
    <col min="3331" max="3336" width="0" style="71" hidden="1" customWidth="1"/>
    <col min="3337" max="3337" width="6.28515625" style="71" customWidth="1"/>
    <col min="3338" max="3338" width="5.85546875" style="71" customWidth="1"/>
    <col min="3339" max="3339" width="5.42578125" style="71" customWidth="1"/>
    <col min="3340" max="3340" width="5.28515625" style="71" customWidth="1"/>
    <col min="3341" max="3341" width="5.7109375" style="71" customWidth="1"/>
    <col min="3342" max="3348" width="0" style="71" hidden="1" customWidth="1"/>
    <col min="3349" max="3349" width="5.28515625" style="71" customWidth="1"/>
    <col min="3350" max="3350" width="5.42578125" style="71" customWidth="1"/>
    <col min="3351" max="3351" width="6.42578125" style="71" customWidth="1"/>
    <col min="3352" max="3352" width="5" style="71" customWidth="1"/>
    <col min="3353" max="3353" width="6.28515625" style="71" customWidth="1"/>
    <col min="3354" max="3354" width="6.85546875" style="71" customWidth="1"/>
    <col min="3355" max="3355" width="6.28515625" style="71" customWidth="1"/>
    <col min="3356" max="3356" width="6.85546875" style="71" customWidth="1"/>
    <col min="3357" max="3360" width="6" style="71" customWidth="1"/>
    <col min="3361" max="3361" width="6.28515625" style="71" customWidth="1"/>
    <col min="3362" max="3362" width="5.42578125" style="71" customWidth="1"/>
    <col min="3363" max="3363" width="6.42578125" style="71" customWidth="1"/>
    <col min="3364" max="3364" width="6.7109375" style="71" customWidth="1"/>
    <col min="3365" max="3365" width="6.5703125" style="71" customWidth="1"/>
    <col min="3366" max="3584" width="9.140625" style="71"/>
    <col min="3585" max="3585" width="2.5703125" style="71" customWidth="1"/>
    <col min="3586" max="3586" width="11.28515625" style="71" customWidth="1"/>
    <col min="3587" max="3592" width="0" style="71" hidden="1" customWidth="1"/>
    <col min="3593" max="3593" width="6.28515625" style="71" customWidth="1"/>
    <col min="3594" max="3594" width="5.85546875" style="71" customWidth="1"/>
    <col min="3595" max="3595" width="5.42578125" style="71" customWidth="1"/>
    <col min="3596" max="3596" width="5.28515625" style="71" customWidth="1"/>
    <col min="3597" max="3597" width="5.7109375" style="71" customWidth="1"/>
    <col min="3598" max="3604" width="0" style="71" hidden="1" customWidth="1"/>
    <col min="3605" max="3605" width="5.28515625" style="71" customWidth="1"/>
    <col min="3606" max="3606" width="5.42578125" style="71" customWidth="1"/>
    <col min="3607" max="3607" width="6.42578125" style="71" customWidth="1"/>
    <col min="3608" max="3608" width="5" style="71" customWidth="1"/>
    <col min="3609" max="3609" width="6.28515625" style="71" customWidth="1"/>
    <col min="3610" max="3610" width="6.85546875" style="71" customWidth="1"/>
    <col min="3611" max="3611" width="6.28515625" style="71" customWidth="1"/>
    <col min="3612" max="3612" width="6.85546875" style="71" customWidth="1"/>
    <col min="3613" max="3616" width="6" style="71" customWidth="1"/>
    <col min="3617" max="3617" width="6.28515625" style="71" customWidth="1"/>
    <col min="3618" max="3618" width="5.42578125" style="71" customWidth="1"/>
    <col min="3619" max="3619" width="6.42578125" style="71" customWidth="1"/>
    <col min="3620" max="3620" width="6.7109375" style="71" customWidth="1"/>
    <col min="3621" max="3621" width="6.5703125" style="71" customWidth="1"/>
    <col min="3622" max="3840" width="9.140625" style="71"/>
    <col min="3841" max="3841" width="2.5703125" style="71" customWidth="1"/>
    <col min="3842" max="3842" width="11.28515625" style="71" customWidth="1"/>
    <col min="3843" max="3848" width="0" style="71" hidden="1" customWidth="1"/>
    <col min="3849" max="3849" width="6.28515625" style="71" customWidth="1"/>
    <col min="3850" max="3850" width="5.85546875" style="71" customWidth="1"/>
    <col min="3851" max="3851" width="5.42578125" style="71" customWidth="1"/>
    <col min="3852" max="3852" width="5.28515625" style="71" customWidth="1"/>
    <col min="3853" max="3853" width="5.7109375" style="71" customWidth="1"/>
    <col min="3854" max="3860" width="0" style="71" hidden="1" customWidth="1"/>
    <col min="3861" max="3861" width="5.28515625" style="71" customWidth="1"/>
    <col min="3862" max="3862" width="5.42578125" style="71" customWidth="1"/>
    <col min="3863" max="3863" width="6.42578125" style="71" customWidth="1"/>
    <col min="3864" max="3864" width="5" style="71" customWidth="1"/>
    <col min="3865" max="3865" width="6.28515625" style="71" customWidth="1"/>
    <col min="3866" max="3866" width="6.85546875" style="71" customWidth="1"/>
    <col min="3867" max="3867" width="6.28515625" style="71" customWidth="1"/>
    <col min="3868" max="3868" width="6.85546875" style="71" customWidth="1"/>
    <col min="3869" max="3872" width="6" style="71" customWidth="1"/>
    <col min="3873" max="3873" width="6.28515625" style="71" customWidth="1"/>
    <col min="3874" max="3874" width="5.42578125" style="71" customWidth="1"/>
    <col min="3875" max="3875" width="6.42578125" style="71" customWidth="1"/>
    <col min="3876" max="3876" width="6.7109375" style="71" customWidth="1"/>
    <col min="3877" max="3877" width="6.5703125" style="71" customWidth="1"/>
    <col min="3878" max="4096" width="9.140625" style="71"/>
    <col min="4097" max="4097" width="2.5703125" style="71" customWidth="1"/>
    <col min="4098" max="4098" width="11.28515625" style="71" customWidth="1"/>
    <col min="4099" max="4104" width="0" style="71" hidden="1" customWidth="1"/>
    <col min="4105" max="4105" width="6.28515625" style="71" customWidth="1"/>
    <col min="4106" max="4106" width="5.85546875" style="71" customWidth="1"/>
    <col min="4107" max="4107" width="5.42578125" style="71" customWidth="1"/>
    <col min="4108" max="4108" width="5.28515625" style="71" customWidth="1"/>
    <col min="4109" max="4109" width="5.7109375" style="71" customWidth="1"/>
    <col min="4110" max="4116" width="0" style="71" hidden="1" customWidth="1"/>
    <col min="4117" max="4117" width="5.28515625" style="71" customWidth="1"/>
    <col min="4118" max="4118" width="5.42578125" style="71" customWidth="1"/>
    <col min="4119" max="4119" width="6.42578125" style="71" customWidth="1"/>
    <col min="4120" max="4120" width="5" style="71" customWidth="1"/>
    <col min="4121" max="4121" width="6.28515625" style="71" customWidth="1"/>
    <col min="4122" max="4122" width="6.85546875" style="71" customWidth="1"/>
    <col min="4123" max="4123" width="6.28515625" style="71" customWidth="1"/>
    <col min="4124" max="4124" width="6.85546875" style="71" customWidth="1"/>
    <col min="4125" max="4128" width="6" style="71" customWidth="1"/>
    <col min="4129" max="4129" width="6.28515625" style="71" customWidth="1"/>
    <col min="4130" max="4130" width="5.42578125" style="71" customWidth="1"/>
    <col min="4131" max="4131" width="6.42578125" style="71" customWidth="1"/>
    <col min="4132" max="4132" width="6.7109375" style="71" customWidth="1"/>
    <col min="4133" max="4133" width="6.5703125" style="71" customWidth="1"/>
    <col min="4134" max="4352" width="9.140625" style="71"/>
    <col min="4353" max="4353" width="2.5703125" style="71" customWidth="1"/>
    <col min="4354" max="4354" width="11.28515625" style="71" customWidth="1"/>
    <col min="4355" max="4360" width="0" style="71" hidden="1" customWidth="1"/>
    <col min="4361" max="4361" width="6.28515625" style="71" customWidth="1"/>
    <col min="4362" max="4362" width="5.85546875" style="71" customWidth="1"/>
    <col min="4363" max="4363" width="5.42578125" style="71" customWidth="1"/>
    <col min="4364" max="4364" width="5.28515625" style="71" customWidth="1"/>
    <col min="4365" max="4365" width="5.7109375" style="71" customWidth="1"/>
    <col min="4366" max="4372" width="0" style="71" hidden="1" customWidth="1"/>
    <col min="4373" max="4373" width="5.28515625" style="71" customWidth="1"/>
    <col min="4374" max="4374" width="5.42578125" style="71" customWidth="1"/>
    <col min="4375" max="4375" width="6.42578125" style="71" customWidth="1"/>
    <col min="4376" max="4376" width="5" style="71" customWidth="1"/>
    <col min="4377" max="4377" width="6.28515625" style="71" customWidth="1"/>
    <col min="4378" max="4378" width="6.85546875" style="71" customWidth="1"/>
    <col min="4379" max="4379" width="6.28515625" style="71" customWidth="1"/>
    <col min="4380" max="4380" width="6.85546875" style="71" customWidth="1"/>
    <col min="4381" max="4384" width="6" style="71" customWidth="1"/>
    <col min="4385" max="4385" width="6.28515625" style="71" customWidth="1"/>
    <col min="4386" max="4386" width="5.42578125" style="71" customWidth="1"/>
    <col min="4387" max="4387" width="6.42578125" style="71" customWidth="1"/>
    <col min="4388" max="4388" width="6.7109375" style="71" customWidth="1"/>
    <col min="4389" max="4389" width="6.5703125" style="71" customWidth="1"/>
    <col min="4390" max="4608" width="9.140625" style="71"/>
    <col min="4609" max="4609" width="2.5703125" style="71" customWidth="1"/>
    <col min="4610" max="4610" width="11.28515625" style="71" customWidth="1"/>
    <col min="4611" max="4616" width="0" style="71" hidden="1" customWidth="1"/>
    <col min="4617" max="4617" width="6.28515625" style="71" customWidth="1"/>
    <col min="4618" max="4618" width="5.85546875" style="71" customWidth="1"/>
    <col min="4619" max="4619" width="5.42578125" style="71" customWidth="1"/>
    <col min="4620" max="4620" width="5.28515625" style="71" customWidth="1"/>
    <col min="4621" max="4621" width="5.7109375" style="71" customWidth="1"/>
    <col min="4622" max="4628" width="0" style="71" hidden="1" customWidth="1"/>
    <col min="4629" max="4629" width="5.28515625" style="71" customWidth="1"/>
    <col min="4630" max="4630" width="5.42578125" style="71" customWidth="1"/>
    <col min="4631" max="4631" width="6.42578125" style="71" customWidth="1"/>
    <col min="4632" max="4632" width="5" style="71" customWidth="1"/>
    <col min="4633" max="4633" width="6.28515625" style="71" customWidth="1"/>
    <col min="4634" max="4634" width="6.85546875" style="71" customWidth="1"/>
    <col min="4635" max="4635" width="6.28515625" style="71" customWidth="1"/>
    <col min="4636" max="4636" width="6.85546875" style="71" customWidth="1"/>
    <col min="4637" max="4640" width="6" style="71" customWidth="1"/>
    <col min="4641" max="4641" width="6.28515625" style="71" customWidth="1"/>
    <col min="4642" max="4642" width="5.42578125" style="71" customWidth="1"/>
    <col min="4643" max="4643" width="6.42578125" style="71" customWidth="1"/>
    <col min="4644" max="4644" width="6.7109375" style="71" customWidth="1"/>
    <col min="4645" max="4645" width="6.5703125" style="71" customWidth="1"/>
    <col min="4646" max="4864" width="9.140625" style="71"/>
    <col min="4865" max="4865" width="2.5703125" style="71" customWidth="1"/>
    <col min="4866" max="4866" width="11.28515625" style="71" customWidth="1"/>
    <col min="4867" max="4872" width="0" style="71" hidden="1" customWidth="1"/>
    <col min="4873" max="4873" width="6.28515625" style="71" customWidth="1"/>
    <col min="4874" max="4874" width="5.85546875" style="71" customWidth="1"/>
    <col min="4875" max="4875" width="5.42578125" style="71" customWidth="1"/>
    <col min="4876" max="4876" width="5.28515625" style="71" customWidth="1"/>
    <col min="4877" max="4877" width="5.7109375" style="71" customWidth="1"/>
    <col min="4878" max="4884" width="0" style="71" hidden="1" customWidth="1"/>
    <col min="4885" max="4885" width="5.28515625" style="71" customWidth="1"/>
    <col min="4886" max="4886" width="5.42578125" style="71" customWidth="1"/>
    <col min="4887" max="4887" width="6.42578125" style="71" customWidth="1"/>
    <col min="4888" max="4888" width="5" style="71" customWidth="1"/>
    <col min="4889" max="4889" width="6.28515625" style="71" customWidth="1"/>
    <col min="4890" max="4890" width="6.85546875" style="71" customWidth="1"/>
    <col min="4891" max="4891" width="6.28515625" style="71" customWidth="1"/>
    <col min="4892" max="4892" width="6.85546875" style="71" customWidth="1"/>
    <col min="4893" max="4896" width="6" style="71" customWidth="1"/>
    <col min="4897" max="4897" width="6.28515625" style="71" customWidth="1"/>
    <col min="4898" max="4898" width="5.42578125" style="71" customWidth="1"/>
    <col min="4899" max="4899" width="6.42578125" style="71" customWidth="1"/>
    <col min="4900" max="4900" width="6.7109375" style="71" customWidth="1"/>
    <col min="4901" max="4901" width="6.5703125" style="71" customWidth="1"/>
    <col min="4902" max="5120" width="9.140625" style="71"/>
    <col min="5121" max="5121" width="2.5703125" style="71" customWidth="1"/>
    <col min="5122" max="5122" width="11.28515625" style="71" customWidth="1"/>
    <col min="5123" max="5128" width="0" style="71" hidden="1" customWidth="1"/>
    <col min="5129" max="5129" width="6.28515625" style="71" customWidth="1"/>
    <col min="5130" max="5130" width="5.85546875" style="71" customWidth="1"/>
    <col min="5131" max="5131" width="5.42578125" style="71" customWidth="1"/>
    <col min="5132" max="5132" width="5.28515625" style="71" customWidth="1"/>
    <col min="5133" max="5133" width="5.7109375" style="71" customWidth="1"/>
    <col min="5134" max="5140" width="0" style="71" hidden="1" customWidth="1"/>
    <col min="5141" max="5141" width="5.28515625" style="71" customWidth="1"/>
    <col min="5142" max="5142" width="5.42578125" style="71" customWidth="1"/>
    <col min="5143" max="5143" width="6.42578125" style="71" customWidth="1"/>
    <col min="5144" max="5144" width="5" style="71" customWidth="1"/>
    <col min="5145" max="5145" width="6.28515625" style="71" customWidth="1"/>
    <col min="5146" max="5146" width="6.85546875" style="71" customWidth="1"/>
    <col min="5147" max="5147" width="6.28515625" style="71" customWidth="1"/>
    <col min="5148" max="5148" width="6.85546875" style="71" customWidth="1"/>
    <col min="5149" max="5152" width="6" style="71" customWidth="1"/>
    <col min="5153" max="5153" width="6.28515625" style="71" customWidth="1"/>
    <col min="5154" max="5154" width="5.42578125" style="71" customWidth="1"/>
    <col min="5155" max="5155" width="6.42578125" style="71" customWidth="1"/>
    <col min="5156" max="5156" width="6.7109375" style="71" customWidth="1"/>
    <col min="5157" max="5157" width="6.5703125" style="71" customWidth="1"/>
    <col min="5158" max="5376" width="9.140625" style="71"/>
    <col min="5377" max="5377" width="2.5703125" style="71" customWidth="1"/>
    <col min="5378" max="5378" width="11.28515625" style="71" customWidth="1"/>
    <col min="5379" max="5384" width="0" style="71" hidden="1" customWidth="1"/>
    <col min="5385" max="5385" width="6.28515625" style="71" customWidth="1"/>
    <col min="5386" max="5386" width="5.85546875" style="71" customWidth="1"/>
    <col min="5387" max="5387" width="5.42578125" style="71" customWidth="1"/>
    <col min="5388" max="5388" width="5.28515625" style="71" customWidth="1"/>
    <col min="5389" max="5389" width="5.7109375" style="71" customWidth="1"/>
    <col min="5390" max="5396" width="0" style="71" hidden="1" customWidth="1"/>
    <col min="5397" max="5397" width="5.28515625" style="71" customWidth="1"/>
    <col min="5398" max="5398" width="5.42578125" style="71" customWidth="1"/>
    <col min="5399" max="5399" width="6.42578125" style="71" customWidth="1"/>
    <col min="5400" max="5400" width="5" style="71" customWidth="1"/>
    <col min="5401" max="5401" width="6.28515625" style="71" customWidth="1"/>
    <col min="5402" max="5402" width="6.85546875" style="71" customWidth="1"/>
    <col min="5403" max="5403" width="6.28515625" style="71" customWidth="1"/>
    <col min="5404" max="5404" width="6.85546875" style="71" customWidth="1"/>
    <col min="5405" max="5408" width="6" style="71" customWidth="1"/>
    <col min="5409" max="5409" width="6.28515625" style="71" customWidth="1"/>
    <col min="5410" max="5410" width="5.42578125" style="71" customWidth="1"/>
    <col min="5411" max="5411" width="6.42578125" style="71" customWidth="1"/>
    <col min="5412" max="5412" width="6.7109375" style="71" customWidth="1"/>
    <col min="5413" max="5413" width="6.5703125" style="71" customWidth="1"/>
    <col min="5414" max="5632" width="9.140625" style="71"/>
    <col min="5633" max="5633" width="2.5703125" style="71" customWidth="1"/>
    <col min="5634" max="5634" width="11.28515625" style="71" customWidth="1"/>
    <col min="5635" max="5640" width="0" style="71" hidden="1" customWidth="1"/>
    <col min="5641" max="5641" width="6.28515625" style="71" customWidth="1"/>
    <col min="5642" max="5642" width="5.85546875" style="71" customWidth="1"/>
    <col min="5643" max="5643" width="5.42578125" style="71" customWidth="1"/>
    <col min="5644" max="5644" width="5.28515625" style="71" customWidth="1"/>
    <col min="5645" max="5645" width="5.7109375" style="71" customWidth="1"/>
    <col min="5646" max="5652" width="0" style="71" hidden="1" customWidth="1"/>
    <col min="5653" max="5653" width="5.28515625" style="71" customWidth="1"/>
    <col min="5654" max="5654" width="5.42578125" style="71" customWidth="1"/>
    <col min="5655" max="5655" width="6.42578125" style="71" customWidth="1"/>
    <col min="5656" max="5656" width="5" style="71" customWidth="1"/>
    <col min="5657" max="5657" width="6.28515625" style="71" customWidth="1"/>
    <col min="5658" max="5658" width="6.85546875" style="71" customWidth="1"/>
    <col min="5659" max="5659" width="6.28515625" style="71" customWidth="1"/>
    <col min="5660" max="5660" width="6.85546875" style="71" customWidth="1"/>
    <col min="5661" max="5664" width="6" style="71" customWidth="1"/>
    <col min="5665" max="5665" width="6.28515625" style="71" customWidth="1"/>
    <col min="5666" max="5666" width="5.42578125" style="71" customWidth="1"/>
    <col min="5667" max="5667" width="6.42578125" style="71" customWidth="1"/>
    <col min="5668" max="5668" width="6.7109375" style="71" customWidth="1"/>
    <col min="5669" max="5669" width="6.5703125" style="71" customWidth="1"/>
    <col min="5670" max="5888" width="9.140625" style="71"/>
    <col min="5889" max="5889" width="2.5703125" style="71" customWidth="1"/>
    <col min="5890" max="5890" width="11.28515625" style="71" customWidth="1"/>
    <col min="5891" max="5896" width="0" style="71" hidden="1" customWidth="1"/>
    <col min="5897" max="5897" width="6.28515625" style="71" customWidth="1"/>
    <col min="5898" max="5898" width="5.85546875" style="71" customWidth="1"/>
    <col min="5899" max="5899" width="5.42578125" style="71" customWidth="1"/>
    <col min="5900" max="5900" width="5.28515625" style="71" customWidth="1"/>
    <col min="5901" max="5901" width="5.7109375" style="71" customWidth="1"/>
    <col min="5902" max="5908" width="0" style="71" hidden="1" customWidth="1"/>
    <col min="5909" max="5909" width="5.28515625" style="71" customWidth="1"/>
    <col min="5910" max="5910" width="5.42578125" style="71" customWidth="1"/>
    <col min="5911" max="5911" width="6.42578125" style="71" customWidth="1"/>
    <col min="5912" max="5912" width="5" style="71" customWidth="1"/>
    <col min="5913" max="5913" width="6.28515625" style="71" customWidth="1"/>
    <col min="5914" max="5914" width="6.85546875" style="71" customWidth="1"/>
    <col min="5915" max="5915" width="6.28515625" style="71" customWidth="1"/>
    <col min="5916" max="5916" width="6.85546875" style="71" customWidth="1"/>
    <col min="5917" max="5920" width="6" style="71" customWidth="1"/>
    <col min="5921" max="5921" width="6.28515625" style="71" customWidth="1"/>
    <col min="5922" max="5922" width="5.42578125" style="71" customWidth="1"/>
    <col min="5923" max="5923" width="6.42578125" style="71" customWidth="1"/>
    <col min="5924" max="5924" width="6.7109375" style="71" customWidth="1"/>
    <col min="5925" max="5925" width="6.5703125" style="71" customWidth="1"/>
    <col min="5926" max="6144" width="9.140625" style="71"/>
    <col min="6145" max="6145" width="2.5703125" style="71" customWidth="1"/>
    <col min="6146" max="6146" width="11.28515625" style="71" customWidth="1"/>
    <col min="6147" max="6152" width="0" style="71" hidden="1" customWidth="1"/>
    <col min="6153" max="6153" width="6.28515625" style="71" customWidth="1"/>
    <col min="6154" max="6154" width="5.85546875" style="71" customWidth="1"/>
    <col min="6155" max="6155" width="5.42578125" style="71" customWidth="1"/>
    <col min="6156" max="6156" width="5.28515625" style="71" customWidth="1"/>
    <col min="6157" max="6157" width="5.7109375" style="71" customWidth="1"/>
    <col min="6158" max="6164" width="0" style="71" hidden="1" customWidth="1"/>
    <col min="6165" max="6165" width="5.28515625" style="71" customWidth="1"/>
    <col min="6166" max="6166" width="5.42578125" style="71" customWidth="1"/>
    <col min="6167" max="6167" width="6.42578125" style="71" customWidth="1"/>
    <col min="6168" max="6168" width="5" style="71" customWidth="1"/>
    <col min="6169" max="6169" width="6.28515625" style="71" customWidth="1"/>
    <col min="6170" max="6170" width="6.85546875" style="71" customWidth="1"/>
    <col min="6171" max="6171" width="6.28515625" style="71" customWidth="1"/>
    <col min="6172" max="6172" width="6.85546875" style="71" customWidth="1"/>
    <col min="6173" max="6176" width="6" style="71" customWidth="1"/>
    <col min="6177" max="6177" width="6.28515625" style="71" customWidth="1"/>
    <col min="6178" max="6178" width="5.42578125" style="71" customWidth="1"/>
    <col min="6179" max="6179" width="6.42578125" style="71" customWidth="1"/>
    <col min="6180" max="6180" width="6.7109375" style="71" customWidth="1"/>
    <col min="6181" max="6181" width="6.5703125" style="71" customWidth="1"/>
    <col min="6182" max="6400" width="9.140625" style="71"/>
    <col min="6401" max="6401" width="2.5703125" style="71" customWidth="1"/>
    <col min="6402" max="6402" width="11.28515625" style="71" customWidth="1"/>
    <col min="6403" max="6408" width="0" style="71" hidden="1" customWidth="1"/>
    <col min="6409" max="6409" width="6.28515625" style="71" customWidth="1"/>
    <col min="6410" max="6410" width="5.85546875" style="71" customWidth="1"/>
    <col min="6411" max="6411" width="5.42578125" style="71" customWidth="1"/>
    <col min="6412" max="6412" width="5.28515625" style="71" customWidth="1"/>
    <col min="6413" max="6413" width="5.7109375" style="71" customWidth="1"/>
    <col min="6414" max="6420" width="0" style="71" hidden="1" customWidth="1"/>
    <col min="6421" max="6421" width="5.28515625" style="71" customWidth="1"/>
    <col min="6422" max="6422" width="5.42578125" style="71" customWidth="1"/>
    <col min="6423" max="6423" width="6.42578125" style="71" customWidth="1"/>
    <col min="6424" max="6424" width="5" style="71" customWidth="1"/>
    <col min="6425" max="6425" width="6.28515625" style="71" customWidth="1"/>
    <col min="6426" max="6426" width="6.85546875" style="71" customWidth="1"/>
    <col min="6427" max="6427" width="6.28515625" style="71" customWidth="1"/>
    <col min="6428" max="6428" width="6.85546875" style="71" customWidth="1"/>
    <col min="6429" max="6432" width="6" style="71" customWidth="1"/>
    <col min="6433" max="6433" width="6.28515625" style="71" customWidth="1"/>
    <col min="6434" max="6434" width="5.42578125" style="71" customWidth="1"/>
    <col min="6435" max="6435" width="6.42578125" style="71" customWidth="1"/>
    <col min="6436" max="6436" width="6.7109375" style="71" customWidth="1"/>
    <col min="6437" max="6437" width="6.5703125" style="71" customWidth="1"/>
    <col min="6438" max="6656" width="9.140625" style="71"/>
    <col min="6657" max="6657" width="2.5703125" style="71" customWidth="1"/>
    <col min="6658" max="6658" width="11.28515625" style="71" customWidth="1"/>
    <col min="6659" max="6664" width="0" style="71" hidden="1" customWidth="1"/>
    <col min="6665" max="6665" width="6.28515625" style="71" customWidth="1"/>
    <col min="6666" max="6666" width="5.85546875" style="71" customWidth="1"/>
    <col min="6667" max="6667" width="5.42578125" style="71" customWidth="1"/>
    <col min="6668" max="6668" width="5.28515625" style="71" customWidth="1"/>
    <col min="6669" max="6669" width="5.7109375" style="71" customWidth="1"/>
    <col min="6670" max="6676" width="0" style="71" hidden="1" customWidth="1"/>
    <col min="6677" max="6677" width="5.28515625" style="71" customWidth="1"/>
    <col min="6678" max="6678" width="5.42578125" style="71" customWidth="1"/>
    <col min="6679" max="6679" width="6.42578125" style="71" customWidth="1"/>
    <col min="6680" max="6680" width="5" style="71" customWidth="1"/>
    <col min="6681" max="6681" width="6.28515625" style="71" customWidth="1"/>
    <col min="6682" max="6682" width="6.85546875" style="71" customWidth="1"/>
    <col min="6683" max="6683" width="6.28515625" style="71" customWidth="1"/>
    <col min="6684" max="6684" width="6.85546875" style="71" customWidth="1"/>
    <col min="6685" max="6688" width="6" style="71" customWidth="1"/>
    <col min="6689" max="6689" width="6.28515625" style="71" customWidth="1"/>
    <col min="6690" max="6690" width="5.42578125" style="71" customWidth="1"/>
    <col min="6691" max="6691" width="6.42578125" style="71" customWidth="1"/>
    <col min="6692" max="6692" width="6.7109375" style="71" customWidth="1"/>
    <col min="6693" max="6693" width="6.5703125" style="71" customWidth="1"/>
    <col min="6694" max="6912" width="9.140625" style="71"/>
    <col min="6913" max="6913" width="2.5703125" style="71" customWidth="1"/>
    <col min="6914" max="6914" width="11.28515625" style="71" customWidth="1"/>
    <col min="6915" max="6920" width="0" style="71" hidden="1" customWidth="1"/>
    <col min="6921" max="6921" width="6.28515625" style="71" customWidth="1"/>
    <col min="6922" max="6922" width="5.85546875" style="71" customWidth="1"/>
    <col min="6923" max="6923" width="5.42578125" style="71" customWidth="1"/>
    <col min="6924" max="6924" width="5.28515625" style="71" customWidth="1"/>
    <col min="6925" max="6925" width="5.7109375" style="71" customWidth="1"/>
    <col min="6926" max="6932" width="0" style="71" hidden="1" customWidth="1"/>
    <col min="6933" max="6933" width="5.28515625" style="71" customWidth="1"/>
    <col min="6934" max="6934" width="5.42578125" style="71" customWidth="1"/>
    <col min="6935" max="6935" width="6.42578125" style="71" customWidth="1"/>
    <col min="6936" max="6936" width="5" style="71" customWidth="1"/>
    <col min="6937" max="6937" width="6.28515625" style="71" customWidth="1"/>
    <col min="6938" max="6938" width="6.85546875" style="71" customWidth="1"/>
    <col min="6939" max="6939" width="6.28515625" style="71" customWidth="1"/>
    <col min="6940" max="6940" width="6.85546875" style="71" customWidth="1"/>
    <col min="6941" max="6944" width="6" style="71" customWidth="1"/>
    <col min="6945" max="6945" width="6.28515625" style="71" customWidth="1"/>
    <col min="6946" max="6946" width="5.42578125" style="71" customWidth="1"/>
    <col min="6947" max="6947" width="6.42578125" style="71" customWidth="1"/>
    <col min="6948" max="6948" width="6.7109375" style="71" customWidth="1"/>
    <col min="6949" max="6949" width="6.5703125" style="71" customWidth="1"/>
    <col min="6950" max="7168" width="9.140625" style="71"/>
    <col min="7169" max="7169" width="2.5703125" style="71" customWidth="1"/>
    <col min="7170" max="7170" width="11.28515625" style="71" customWidth="1"/>
    <col min="7171" max="7176" width="0" style="71" hidden="1" customWidth="1"/>
    <col min="7177" max="7177" width="6.28515625" style="71" customWidth="1"/>
    <col min="7178" max="7178" width="5.85546875" style="71" customWidth="1"/>
    <col min="7179" max="7179" width="5.42578125" style="71" customWidth="1"/>
    <col min="7180" max="7180" width="5.28515625" style="71" customWidth="1"/>
    <col min="7181" max="7181" width="5.7109375" style="71" customWidth="1"/>
    <col min="7182" max="7188" width="0" style="71" hidden="1" customWidth="1"/>
    <col min="7189" max="7189" width="5.28515625" style="71" customWidth="1"/>
    <col min="7190" max="7190" width="5.42578125" style="71" customWidth="1"/>
    <col min="7191" max="7191" width="6.42578125" style="71" customWidth="1"/>
    <col min="7192" max="7192" width="5" style="71" customWidth="1"/>
    <col min="7193" max="7193" width="6.28515625" style="71" customWidth="1"/>
    <col min="7194" max="7194" width="6.85546875" style="71" customWidth="1"/>
    <col min="7195" max="7195" width="6.28515625" style="71" customWidth="1"/>
    <col min="7196" max="7196" width="6.85546875" style="71" customWidth="1"/>
    <col min="7197" max="7200" width="6" style="71" customWidth="1"/>
    <col min="7201" max="7201" width="6.28515625" style="71" customWidth="1"/>
    <col min="7202" max="7202" width="5.42578125" style="71" customWidth="1"/>
    <col min="7203" max="7203" width="6.42578125" style="71" customWidth="1"/>
    <col min="7204" max="7204" width="6.7109375" style="71" customWidth="1"/>
    <col min="7205" max="7205" width="6.5703125" style="71" customWidth="1"/>
    <col min="7206" max="7424" width="9.140625" style="71"/>
    <col min="7425" max="7425" width="2.5703125" style="71" customWidth="1"/>
    <col min="7426" max="7426" width="11.28515625" style="71" customWidth="1"/>
    <col min="7427" max="7432" width="0" style="71" hidden="1" customWidth="1"/>
    <col min="7433" max="7433" width="6.28515625" style="71" customWidth="1"/>
    <col min="7434" max="7434" width="5.85546875" style="71" customWidth="1"/>
    <col min="7435" max="7435" width="5.42578125" style="71" customWidth="1"/>
    <col min="7436" max="7436" width="5.28515625" style="71" customWidth="1"/>
    <col min="7437" max="7437" width="5.7109375" style="71" customWidth="1"/>
    <col min="7438" max="7444" width="0" style="71" hidden="1" customWidth="1"/>
    <col min="7445" max="7445" width="5.28515625" style="71" customWidth="1"/>
    <col min="7446" max="7446" width="5.42578125" style="71" customWidth="1"/>
    <col min="7447" max="7447" width="6.42578125" style="71" customWidth="1"/>
    <col min="7448" max="7448" width="5" style="71" customWidth="1"/>
    <col min="7449" max="7449" width="6.28515625" style="71" customWidth="1"/>
    <col min="7450" max="7450" width="6.85546875" style="71" customWidth="1"/>
    <col min="7451" max="7451" width="6.28515625" style="71" customWidth="1"/>
    <col min="7452" max="7452" width="6.85546875" style="71" customWidth="1"/>
    <col min="7453" max="7456" width="6" style="71" customWidth="1"/>
    <col min="7457" max="7457" width="6.28515625" style="71" customWidth="1"/>
    <col min="7458" max="7458" width="5.42578125" style="71" customWidth="1"/>
    <col min="7459" max="7459" width="6.42578125" style="71" customWidth="1"/>
    <col min="7460" max="7460" width="6.7109375" style="71" customWidth="1"/>
    <col min="7461" max="7461" width="6.5703125" style="71" customWidth="1"/>
    <col min="7462" max="7680" width="9.140625" style="71"/>
    <col min="7681" max="7681" width="2.5703125" style="71" customWidth="1"/>
    <col min="7682" max="7682" width="11.28515625" style="71" customWidth="1"/>
    <col min="7683" max="7688" width="0" style="71" hidden="1" customWidth="1"/>
    <col min="7689" max="7689" width="6.28515625" style="71" customWidth="1"/>
    <col min="7690" max="7690" width="5.85546875" style="71" customWidth="1"/>
    <col min="7691" max="7691" width="5.42578125" style="71" customWidth="1"/>
    <col min="7692" max="7692" width="5.28515625" style="71" customWidth="1"/>
    <col min="7693" max="7693" width="5.7109375" style="71" customWidth="1"/>
    <col min="7694" max="7700" width="0" style="71" hidden="1" customWidth="1"/>
    <col min="7701" max="7701" width="5.28515625" style="71" customWidth="1"/>
    <col min="7702" max="7702" width="5.42578125" style="71" customWidth="1"/>
    <col min="7703" max="7703" width="6.42578125" style="71" customWidth="1"/>
    <col min="7704" max="7704" width="5" style="71" customWidth="1"/>
    <col min="7705" max="7705" width="6.28515625" style="71" customWidth="1"/>
    <col min="7706" max="7706" width="6.85546875" style="71" customWidth="1"/>
    <col min="7707" max="7707" width="6.28515625" style="71" customWidth="1"/>
    <col min="7708" max="7708" width="6.85546875" style="71" customWidth="1"/>
    <col min="7709" max="7712" width="6" style="71" customWidth="1"/>
    <col min="7713" max="7713" width="6.28515625" style="71" customWidth="1"/>
    <col min="7714" max="7714" width="5.42578125" style="71" customWidth="1"/>
    <col min="7715" max="7715" width="6.42578125" style="71" customWidth="1"/>
    <col min="7716" max="7716" width="6.7109375" style="71" customWidth="1"/>
    <col min="7717" max="7717" width="6.5703125" style="71" customWidth="1"/>
    <col min="7718" max="7936" width="9.140625" style="71"/>
    <col min="7937" max="7937" width="2.5703125" style="71" customWidth="1"/>
    <col min="7938" max="7938" width="11.28515625" style="71" customWidth="1"/>
    <col min="7939" max="7944" width="0" style="71" hidden="1" customWidth="1"/>
    <col min="7945" max="7945" width="6.28515625" style="71" customWidth="1"/>
    <col min="7946" max="7946" width="5.85546875" style="71" customWidth="1"/>
    <col min="7947" max="7947" width="5.42578125" style="71" customWidth="1"/>
    <col min="7948" max="7948" width="5.28515625" style="71" customWidth="1"/>
    <col min="7949" max="7949" width="5.7109375" style="71" customWidth="1"/>
    <col min="7950" max="7956" width="0" style="71" hidden="1" customWidth="1"/>
    <col min="7957" max="7957" width="5.28515625" style="71" customWidth="1"/>
    <col min="7958" max="7958" width="5.42578125" style="71" customWidth="1"/>
    <col min="7959" max="7959" width="6.42578125" style="71" customWidth="1"/>
    <col min="7960" max="7960" width="5" style="71" customWidth="1"/>
    <col min="7961" max="7961" width="6.28515625" style="71" customWidth="1"/>
    <col min="7962" max="7962" width="6.85546875" style="71" customWidth="1"/>
    <col min="7963" max="7963" width="6.28515625" style="71" customWidth="1"/>
    <col min="7964" max="7964" width="6.85546875" style="71" customWidth="1"/>
    <col min="7965" max="7968" width="6" style="71" customWidth="1"/>
    <col min="7969" max="7969" width="6.28515625" style="71" customWidth="1"/>
    <col min="7970" max="7970" width="5.42578125" style="71" customWidth="1"/>
    <col min="7971" max="7971" width="6.42578125" style="71" customWidth="1"/>
    <col min="7972" max="7972" width="6.7109375" style="71" customWidth="1"/>
    <col min="7973" max="7973" width="6.5703125" style="71" customWidth="1"/>
    <col min="7974" max="8192" width="9.140625" style="71"/>
    <col min="8193" max="8193" width="2.5703125" style="71" customWidth="1"/>
    <col min="8194" max="8194" width="11.28515625" style="71" customWidth="1"/>
    <col min="8195" max="8200" width="0" style="71" hidden="1" customWidth="1"/>
    <col min="8201" max="8201" width="6.28515625" style="71" customWidth="1"/>
    <col min="8202" max="8202" width="5.85546875" style="71" customWidth="1"/>
    <col min="8203" max="8203" width="5.42578125" style="71" customWidth="1"/>
    <col min="8204" max="8204" width="5.28515625" style="71" customWidth="1"/>
    <col min="8205" max="8205" width="5.7109375" style="71" customWidth="1"/>
    <col min="8206" max="8212" width="0" style="71" hidden="1" customWidth="1"/>
    <col min="8213" max="8213" width="5.28515625" style="71" customWidth="1"/>
    <col min="8214" max="8214" width="5.42578125" style="71" customWidth="1"/>
    <col min="8215" max="8215" width="6.42578125" style="71" customWidth="1"/>
    <col min="8216" max="8216" width="5" style="71" customWidth="1"/>
    <col min="8217" max="8217" width="6.28515625" style="71" customWidth="1"/>
    <col min="8218" max="8218" width="6.85546875" style="71" customWidth="1"/>
    <col min="8219" max="8219" width="6.28515625" style="71" customWidth="1"/>
    <col min="8220" max="8220" width="6.85546875" style="71" customWidth="1"/>
    <col min="8221" max="8224" width="6" style="71" customWidth="1"/>
    <col min="8225" max="8225" width="6.28515625" style="71" customWidth="1"/>
    <col min="8226" max="8226" width="5.42578125" style="71" customWidth="1"/>
    <col min="8227" max="8227" width="6.42578125" style="71" customWidth="1"/>
    <col min="8228" max="8228" width="6.7109375" style="71" customWidth="1"/>
    <col min="8229" max="8229" width="6.5703125" style="71" customWidth="1"/>
    <col min="8230" max="8448" width="9.140625" style="71"/>
    <col min="8449" max="8449" width="2.5703125" style="71" customWidth="1"/>
    <col min="8450" max="8450" width="11.28515625" style="71" customWidth="1"/>
    <col min="8451" max="8456" width="0" style="71" hidden="1" customWidth="1"/>
    <col min="8457" max="8457" width="6.28515625" style="71" customWidth="1"/>
    <col min="8458" max="8458" width="5.85546875" style="71" customWidth="1"/>
    <col min="8459" max="8459" width="5.42578125" style="71" customWidth="1"/>
    <col min="8460" max="8460" width="5.28515625" style="71" customWidth="1"/>
    <col min="8461" max="8461" width="5.7109375" style="71" customWidth="1"/>
    <col min="8462" max="8468" width="0" style="71" hidden="1" customWidth="1"/>
    <col min="8469" max="8469" width="5.28515625" style="71" customWidth="1"/>
    <col min="8470" max="8470" width="5.42578125" style="71" customWidth="1"/>
    <col min="8471" max="8471" width="6.42578125" style="71" customWidth="1"/>
    <col min="8472" max="8472" width="5" style="71" customWidth="1"/>
    <col min="8473" max="8473" width="6.28515625" style="71" customWidth="1"/>
    <col min="8474" max="8474" width="6.85546875" style="71" customWidth="1"/>
    <col min="8475" max="8475" width="6.28515625" style="71" customWidth="1"/>
    <col min="8476" max="8476" width="6.85546875" style="71" customWidth="1"/>
    <col min="8477" max="8480" width="6" style="71" customWidth="1"/>
    <col min="8481" max="8481" width="6.28515625" style="71" customWidth="1"/>
    <col min="8482" max="8482" width="5.42578125" style="71" customWidth="1"/>
    <col min="8483" max="8483" width="6.42578125" style="71" customWidth="1"/>
    <col min="8484" max="8484" width="6.7109375" style="71" customWidth="1"/>
    <col min="8485" max="8485" width="6.5703125" style="71" customWidth="1"/>
    <col min="8486" max="8704" width="9.140625" style="71"/>
    <col min="8705" max="8705" width="2.5703125" style="71" customWidth="1"/>
    <col min="8706" max="8706" width="11.28515625" style="71" customWidth="1"/>
    <col min="8707" max="8712" width="0" style="71" hidden="1" customWidth="1"/>
    <col min="8713" max="8713" width="6.28515625" style="71" customWidth="1"/>
    <col min="8714" max="8714" width="5.85546875" style="71" customWidth="1"/>
    <col min="8715" max="8715" width="5.42578125" style="71" customWidth="1"/>
    <col min="8716" max="8716" width="5.28515625" style="71" customWidth="1"/>
    <col min="8717" max="8717" width="5.7109375" style="71" customWidth="1"/>
    <col min="8718" max="8724" width="0" style="71" hidden="1" customWidth="1"/>
    <col min="8725" max="8725" width="5.28515625" style="71" customWidth="1"/>
    <col min="8726" max="8726" width="5.42578125" style="71" customWidth="1"/>
    <col min="8727" max="8727" width="6.42578125" style="71" customWidth="1"/>
    <col min="8728" max="8728" width="5" style="71" customWidth="1"/>
    <col min="8729" max="8729" width="6.28515625" style="71" customWidth="1"/>
    <col min="8730" max="8730" width="6.85546875" style="71" customWidth="1"/>
    <col min="8731" max="8731" width="6.28515625" style="71" customWidth="1"/>
    <col min="8732" max="8732" width="6.85546875" style="71" customWidth="1"/>
    <col min="8733" max="8736" width="6" style="71" customWidth="1"/>
    <col min="8737" max="8737" width="6.28515625" style="71" customWidth="1"/>
    <col min="8738" max="8738" width="5.42578125" style="71" customWidth="1"/>
    <col min="8739" max="8739" width="6.42578125" style="71" customWidth="1"/>
    <col min="8740" max="8740" width="6.7109375" style="71" customWidth="1"/>
    <col min="8741" max="8741" width="6.5703125" style="71" customWidth="1"/>
    <col min="8742" max="8960" width="9.140625" style="71"/>
    <col min="8961" max="8961" width="2.5703125" style="71" customWidth="1"/>
    <col min="8962" max="8962" width="11.28515625" style="71" customWidth="1"/>
    <col min="8963" max="8968" width="0" style="71" hidden="1" customWidth="1"/>
    <col min="8969" max="8969" width="6.28515625" style="71" customWidth="1"/>
    <col min="8970" max="8970" width="5.85546875" style="71" customWidth="1"/>
    <col min="8971" max="8971" width="5.42578125" style="71" customWidth="1"/>
    <col min="8972" max="8972" width="5.28515625" style="71" customWidth="1"/>
    <col min="8973" max="8973" width="5.7109375" style="71" customWidth="1"/>
    <col min="8974" max="8980" width="0" style="71" hidden="1" customWidth="1"/>
    <col min="8981" max="8981" width="5.28515625" style="71" customWidth="1"/>
    <col min="8982" max="8982" width="5.42578125" style="71" customWidth="1"/>
    <col min="8983" max="8983" width="6.42578125" style="71" customWidth="1"/>
    <col min="8984" max="8984" width="5" style="71" customWidth="1"/>
    <col min="8985" max="8985" width="6.28515625" style="71" customWidth="1"/>
    <col min="8986" max="8986" width="6.85546875" style="71" customWidth="1"/>
    <col min="8987" max="8987" width="6.28515625" style="71" customWidth="1"/>
    <col min="8988" max="8988" width="6.85546875" style="71" customWidth="1"/>
    <col min="8989" max="8992" width="6" style="71" customWidth="1"/>
    <col min="8993" max="8993" width="6.28515625" style="71" customWidth="1"/>
    <col min="8994" max="8994" width="5.42578125" style="71" customWidth="1"/>
    <col min="8995" max="8995" width="6.42578125" style="71" customWidth="1"/>
    <col min="8996" max="8996" width="6.7109375" style="71" customWidth="1"/>
    <col min="8997" max="8997" width="6.5703125" style="71" customWidth="1"/>
    <col min="8998" max="9216" width="9.140625" style="71"/>
    <col min="9217" max="9217" width="2.5703125" style="71" customWidth="1"/>
    <col min="9218" max="9218" width="11.28515625" style="71" customWidth="1"/>
    <col min="9219" max="9224" width="0" style="71" hidden="1" customWidth="1"/>
    <col min="9225" max="9225" width="6.28515625" style="71" customWidth="1"/>
    <col min="9226" max="9226" width="5.85546875" style="71" customWidth="1"/>
    <col min="9227" max="9227" width="5.42578125" style="71" customWidth="1"/>
    <col min="9228" max="9228" width="5.28515625" style="71" customWidth="1"/>
    <col min="9229" max="9229" width="5.7109375" style="71" customWidth="1"/>
    <col min="9230" max="9236" width="0" style="71" hidden="1" customWidth="1"/>
    <col min="9237" max="9237" width="5.28515625" style="71" customWidth="1"/>
    <col min="9238" max="9238" width="5.42578125" style="71" customWidth="1"/>
    <col min="9239" max="9239" width="6.42578125" style="71" customWidth="1"/>
    <col min="9240" max="9240" width="5" style="71" customWidth="1"/>
    <col min="9241" max="9241" width="6.28515625" style="71" customWidth="1"/>
    <col min="9242" max="9242" width="6.85546875" style="71" customWidth="1"/>
    <col min="9243" max="9243" width="6.28515625" style="71" customWidth="1"/>
    <col min="9244" max="9244" width="6.85546875" style="71" customWidth="1"/>
    <col min="9245" max="9248" width="6" style="71" customWidth="1"/>
    <col min="9249" max="9249" width="6.28515625" style="71" customWidth="1"/>
    <col min="9250" max="9250" width="5.42578125" style="71" customWidth="1"/>
    <col min="9251" max="9251" width="6.42578125" style="71" customWidth="1"/>
    <col min="9252" max="9252" width="6.7109375" style="71" customWidth="1"/>
    <col min="9253" max="9253" width="6.5703125" style="71" customWidth="1"/>
    <col min="9254" max="9472" width="9.140625" style="71"/>
    <col min="9473" max="9473" width="2.5703125" style="71" customWidth="1"/>
    <col min="9474" max="9474" width="11.28515625" style="71" customWidth="1"/>
    <col min="9475" max="9480" width="0" style="71" hidden="1" customWidth="1"/>
    <col min="9481" max="9481" width="6.28515625" style="71" customWidth="1"/>
    <col min="9482" max="9482" width="5.85546875" style="71" customWidth="1"/>
    <col min="9483" max="9483" width="5.42578125" style="71" customWidth="1"/>
    <col min="9484" max="9484" width="5.28515625" style="71" customWidth="1"/>
    <col min="9485" max="9485" width="5.7109375" style="71" customWidth="1"/>
    <col min="9486" max="9492" width="0" style="71" hidden="1" customWidth="1"/>
    <col min="9493" max="9493" width="5.28515625" style="71" customWidth="1"/>
    <col min="9494" max="9494" width="5.42578125" style="71" customWidth="1"/>
    <col min="9495" max="9495" width="6.42578125" style="71" customWidth="1"/>
    <col min="9496" max="9496" width="5" style="71" customWidth="1"/>
    <col min="9497" max="9497" width="6.28515625" style="71" customWidth="1"/>
    <col min="9498" max="9498" width="6.85546875" style="71" customWidth="1"/>
    <col min="9499" max="9499" width="6.28515625" style="71" customWidth="1"/>
    <col min="9500" max="9500" width="6.85546875" style="71" customWidth="1"/>
    <col min="9501" max="9504" width="6" style="71" customWidth="1"/>
    <col min="9505" max="9505" width="6.28515625" style="71" customWidth="1"/>
    <col min="9506" max="9506" width="5.42578125" style="71" customWidth="1"/>
    <col min="9507" max="9507" width="6.42578125" style="71" customWidth="1"/>
    <col min="9508" max="9508" width="6.7109375" style="71" customWidth="1"/>
    <col min="9509" max="9509" width="6.5703125" style="71" customWidth="1"/>
    <col min="9510" max="9728" width="9.140625" style="71"/>
    <col min="9729" max="9729" width="2.5703125" style="71" customWidth="1"/>
    <col min="9730" max="9730" width="11.28515625" style="71" customWidth="1"/>
    <col min="9731" max="9736" width="0" style="71" hidden="1" customWidth="1"/>
    <col min="9737" max="9737" width="6.28515625" style="71" customWidth="1"/>
    <col min="9738" max="9738" width="5.85546875" style="71" customWidth="1"/>
    <col min="9739" max="9739" width="5.42578125" style="71" customWidth="1"/>
    <col min="9740" max="9740" width="5.28515625" style="71" customWidth="1"/>
    <col min="9741" max="9741" width="5.7109375" style="71" customWidth="1"/>
    <col min="9742" max="9748" width="0" style="71" hidden="1" customWidth="1"/>
    <col min="9749" max="9749" width="5.28515625" style="71" customWidth="1"/>
    <col min="9750" max="9750" width="5.42578125" style="71" customWidth="1"/>
    <col min="9751" max="9751" width="6.42578125" style="71" customWidth="1"/>
    <col min="9752" max="9752" width="5" style="71" customWidth="1"/>
    <col min="9753" max="9753" width="6.28515625" style="71" customWidth="1"/>
    <col min="9754" max="9754" width="6.85546875" style="71" customWidth="1"/>
    <col min="9755" max="9755" width="6.28515625" style="71" customWidth="1"/>
    <col min="9756" max="9756" width="6.85546875" style="71" customWidth="1"/>
    <col min="9757" max="9760" width="6" style="71" customWidth="1"/>
    <col min="9761" max="9761" width="6.28515625" style="71" customWidth="1"/>
    <col min="9762" max="9762" width="5.42578125" style="71" customWidth="1"/>
    <col min="9763" max="9763" width="6.42578125" style="71" customWidth="1"/>
    <col min="9764" max="9764" width="6.7109375" style="71" customWidth="1"/>
    <col min="9765" max="9765" width="6.5703125" style="71" customWidth="1"/>
    <col min="9766" max="9984" width="9.140625" style="71"/>
    <col min="9985" max="9985" width="2.5703125" style="71" customWidth="1"/>
    <col min="9986" max="9986" width="11.28515625" style="71" customWidth="1"/>
    <col min="9987" max="9992" width="0" style="71" hidden="1" customWidth="1"/>
    <col min="9993" max="9993" width="6.28515625" style="71" customWidth="1"/>
    <col min="9994" max="9994" width="5.85546875" style="71" customWidth="1"/>
    <col min="9995" max="9995" width="5.42578125" style="71" customWidth="1"/>
    <col min="9996" max="9996" width="5.28515625" style="71" customWidth="1"/>
    <col min="9997" max="9997" width="5.7109375" style="71" customWidth="1"/>
    <col min="9998" max="10004" width="0" style="71" hidden="1" customWidth="1"/>
    <col min="10005" max="10005" width="5.28515625" style="71" customWidth="1"/>
    <col min="10006" max="10006" width="5.42578125" style="71" customWidth="1"/>
    <col min="10007" max="10007" width="6.42578125" style="71" customWidth="1"/>
    <col min="10008" max="10008" width="5" style="71" customWidth="1"/>
    <col min="10009" max="10009" width="6.28515625" style="71" customWidth="1"/>
    <col min="10010" max="10010" width="6.85546875" style="71" customWidth="1"/>
    <col min="10011" max="10011" width="6.28515625" style="71" customWidth="1"/>
    <col min="10012" max="10012" width="6.85546875" style="71" customWidth="1"/>
    <col min="10013" max="10016" width="6" style="71" customWidth="1"/>
    <col min="10017" max="10017" width="6.28515625" style="71" customWidth="1"/>
    <col min="10018" max="10018" width="5.42578125" style="71" customWidth="1"/>
    <col min="10019" max="10019" width="6.42578125" style="71" customWidth="1"/>
    <col min="10020" max="10020" width="6.7109375" style="71" customWidth="1"/>
    <col min="10021" max="10021" width="6.5703125" style="71" customWidth="1"/>
    <col min="10022" max="10240" width="9.140625" style="71"/>
    <col min="10241" max="10241" width="2.5703125" style="71" customWidth="1"/>
    <col min="10242" max="10242" width="11.28515625" style="71" customWidth="1"/>
    <col min="10243" max="10248" width="0" style="71" hidden="1" customWidth="1"/>
    <col min="10249" max="10249" width="6.28515625" style="71" customWidth="1"/>
    <col min="10250" max="10250" width="5.85546875" style="71" customWidth="1"/>
    <col min="10251" max="10251" width="5.42578125" style="71" customWidth="1"/>
    <col min="10252" max="10252" width="5.28515625" style="71" customWidth="1"/>
    <col min="10253" max="10253" width="5.7109375" style="71" customWidth="1"/>
    <col min="10254" max="10260" width="0" style="71" hidden="1" customWidth="1"/>
    <col min="10261" max="10261" width="5.28515625" style="71" customWidth="1"/>
    <col min="10262" max="10262" width="5.42578125" style="71" customWidth="1"/>
    <col min="10263" max="10263" width="6.42578125" style="71" customWidth="1"/>
    <col min="10264" max="10264" width="5" style="71" customWidth="1"/>
    <col min="10265" max="10265" width="6.28515625" style="71" customWidth="1"/>
    <col min="10266" max="10266" width="6.85546875" style="71" customWidth="1"/>
    <col min="10267" max="10267" width="6.28515625" style="71" customWidth="1"/>
    <col min="10268" max="10268" width="6.85546875" style="71" customWidth="1"/>
    <col min="10269" max="10272" width="6" style="71" customWidth="1"/>
    <col min="10273" max="10273" width="6.28515625" style="71" customWidth="1"/>
    <col min="10274" max="10274" width="5.42578125" style="71" customWidth="1"/>
    <col min="10275" max="10275" width="6.42578125" style="71" customWidth="1"/>
    <col min="10276" max="10276" width="6.7109375" style="71" customWidth="1"/>
    <col min="10277" max="10277" width="6.5703125" style="71" customWidth="1"/>
    <col min="10278" max="10496" width="9.140625" style="71"/>
    <col min="10497" max="10497" width="2.5703125" style="71" customWidth="1"/>
    <col min="10498" max="10498" width="11.28515625" style="71" customWidth="1"/>
    <col min="10499" max="10504" width="0" style="71" hidden="1" customWidth="1"/>
    <col min="10505" max="10505" width="6.28515625" style="71" customWidth="1"/>
    <col min="10506" max="10506" width="5.85546875" style="71" customWidth="1"/>
    <col min="10507" max="10507" width="5.42578125" style="71" customWidth="1"/>
    <col min="10508" max="10508" width="5.28515625" style="71" customWidth="1"/>
    <col min="10509" max="10509" width="5.7109375" style="71" customWidth="1"/>
    <col min="10510" max="10516" width="0" style="71" hidden="1" customWidth="1"/>
    <col min="10517" max="10517" width="5.28515625" style="71" customWidth="1"/>
    <col min="10518" max="10518" width="5.42578125" style="71" customWidth="1"/>
    <col min="10519" max="10519" width="6.42578125" style="71" customWidth="1"/>
    <col min="10520" max="10520" width="5" style="71" customWidth="1"/>
    <col min="10521" max="10521" width="6.28515625" style="71" customWidth="1"/>
    <col min="10522" max="10522" width="6.85546875" style="71" customWidth="1"/>
    <col min="10523" max="10523" width="6.28515625" style="71" customWidth="1"/>
    <col min="10524" max="10524" width="6.85546875" style="71" customWidth="1"/>
    <col min="10525" max="10528" width="6" style="71" customWidth="1"/>
    <col min="10529" max="10529" width="6.28515625" style="71" customWidth="1"/>
    <col min="10530" max="10530" width="5.42578125" style="71" customWidth="1"/>
    <col min="10531" max="10531" width="6.42578125" style="71" customWidth="1"/>
    <col min="10532" max="10532" width="6.7109375" style="71" customWidth="1"/>
    <col min="10533" max="10533" width="6.5703125" style="71" customWidth="1"/>
    <col min="10534" max="10752" width="9.140625" style="71"/>
    <col min="10753" max="10753" width="2.5703125" style="71" customWidth="1"/>
    <col min="10754" max="10754" width="11.28515625" style="71" customWidth="1"/>
    <col min="10755" max="10760" width="0" style="71" hidden="1" customWidth="1"/>
    <col min="10761" max="10761" width="6.28515625" style="71" customWidth="1"/>
    <col min="10762" max="10762" width="5.85546875" style="71" customWidth="1"/>
    <col min="10763" max="10763" width="5.42578125" style="71" customWidth="1"/>
    <col min="10764" max="10764" width="5.28515625" style="71" customWidth="1"/>
    <col min="10765" max="10765" width="5.7109375" style="71" customWidth="1"/>
    <col min="10766" max="10772" width="0" style="71" hidden="1" customWidth="1"/>
    <col min="10773" max="10773" width="5.28515625" style="71" customWidth="1"/>
    <col min="10774" max="10774" width="5.42578125" style="71" customWidth="1"/>
    <col min="10775" max="10775" width="6.42578125" style="71" customWidth="1"/>
    <col min="10776" max="10776" width="5" style="71" customWidth="1"/>
    <col min="10777" max="10777" width="6.28515625" style="71" customWidth="1"/>
    <col min="10778" max="10778" width="6.85546875" style="71" customWidth="1"/>
    <col min="10779" max="10779" width="6.28515625" style="71" customWidth="1"/>
    <col min="10780" max="10780" width="6.85546875" style="71" customWidth="1"/>
    <col min="10781" max="10784" width="6" style="71" customWidth="1"/>
    <col min="10785" max="10785" width="6.28515625" style="71" customWidth="1"/>
    <col min="10786" max="10786" width="5.42578125" style="71" customWidth="1"/>
    <col min="10787" max="10787" width="6.42578125" style="71" customWidth="1"/>
    <col min="10788" max="10788" width="6.7109375" style="71" customWidth="1"/>
    <col min="10789" max="10789" width="6.5703125" style="71" customWidth="1"/>
    <col min="10790" max="11008" width="9.140625" style="71"/>
    <col min="11009" max="11009" width="2.5703125" style="71" customWidth="1"/>
    <col min="11010" max="11010" width="11.28515625" style="71" customWidth="1"/>
    <col min="11011" max="11016" width="0" style="71" hidden="1" customWidth="1"/>
    <col min="11017" max="11017" width="6.28515625" style="71" customWidth="1"/>
    <col min="11018" max="11018" width="5.85546875" style="71" customWidth="1"/>
    <col min="11019" max="11019" width="5.42578125" style="71" customWidth="1"/>
    <col min="11020" max="11020" width="5.28515625" style="71" customWidth="1"/>
    <col min="11021" max="11021" width="5.7109375" style="71" customWidth="1"/>
    <col min="11022" max="11028" width="0" style="71" hidden="1" customWidth="1"/>
    <col min="11029" max="11029" width="5.28515625" style="71" customWidth="1"/>
    <col min="11030" max="11030" width="5.42578125" style="71" customWidth="1"/>
    <col min="11031" max="11031" width="6.42578125" style="71" customWidth="1"/>
    <col min="11032" max="11032" width="5" style="71" customWidth="1"/>
    <col min="11033" max="11033" width="6.28515625" style="71" customWidth="1"/>
    <col min="11034" max="11034" width="6.85546875" style="71" customWidth="1"/>
    <col min="11035" max="11035" width="6.28515625" style="71" customWidth="1"/>
    <col min="11036" max="11036" width="6.85546875" style="71" customWidth="1"/>
    <col min="11037" max="11040" width="6" style="71" customWidth="1"/>
    <col min="11041" max="11041" width="6.28515625" style="71" customWidth="1"/>
    <col min="11042" max="11042" width="5.42578125" style="71" customWidth="1"/>
    <col min="11043" max="11043" width="6.42578125" style="71" customWidth="1"/>
    <col min="11044" max="11044" width="6.7109375" style="71" customWidth="1"/>
    <col min="11045" max="11045" width="6.5703125" style="71" customWidth="1"/>
    <col min="11046" max="11264" width="9.140625" style="71"/>
    <col min="11265" max="11265" width="2.5703125" style="71" customWidth="1"/>
    <col min="11266" max="11266" width="11.28515625" style="71" customWidth="1"/>
    <col min="11267" max="11272" width="0" style="71" hidden="1" customWidth="1"/>
    <col min="11273" max="11273" width="6.28515625" style="71" customWidth="1"/>
    <col min="11274" max="11274" width="5.85546875" style="71" customWidth="1"/>
    <col min="11275" max="11275" width="5.42578125" style="71" customWidth="1"/>
    <col min="11276" max="11276" width="5.28515625" style="71" customWidth="1"/>
    <col min="11277" max="11277" width="5.7109375" style="71" customWidth="1"/>
    <col min="11278" max="11284" width="0" style="71" hidden="1" customWidth="1"/>
    <col min="11285" max="11285" width="5.28515625" style="71" customWidth="1"/>
    <col min="11286" max="11286" width="5.42578125" style="71" customWidth="1"/>
    <col min="11287" max="11287" width="6.42578125" style="71" customWidth="1"/>
    <col min="11288" max="11288" width="5" style="71" customWidth="1"/>
    <col min="11289" max="11289" width="6.28515625" style="71" customWidth="1"/>
    <col min="11290" max="11290" width="6.85546875" style="71" customWidth="1"/>
    <col min="11291" max="11291" width="6.28515625" style="71" customWidth="1"/>
    <col min="11292" max="11292" width="6.85546875" style="71" customWidth="1"/>
    <col min="11293" max="11296" width="6" style="71" customWidth="1"/>
    <col min="11297" max="11297" width="6.28515625" style="71" customWidth="1"/>
    <col min="11298" max="11298" width="5.42578125" style="71" customWidth="1"/>
    <col min="11299" max="11299" width="6.42578125" style="71" customWidth="1"/>
    <col min="11300" max="11300" width="6.7109375" style="71" customWidth="1"/>
    <col min="11301" max="11301" width="6.5703125" style="71" customWidth="1"/>
    <col min="11302" max="11520" width="9.140625" style="71"/>
    <col min="11521" max="11521" width="2.5703125" style="71" customWidth="1"/>
    <col min="11522" max="11522" width="11.28515625" style="71" customWidth="1"/>
    <col min="11523" max="11528" width="0" style="71" hidden="1" customWidth="1"/>
    <col min="11529" max="11529" width="6.28515625" style="71" customWidth="1"/>
    <col min="11530" max="11530" width="5.85546875" style="71" customWidth="1"/>
    <col min="11531" max="11531" width="5.42578125" style="71" customWidth="1"/>
    <col min="11532" max="11532" width="5.28515625" style="71" customWidth="1"/>
    <col min="11533" max="11533" width="5.7109375" style="71" customWidth="1"/>
    <col min="11534" max="11540" width="0" style="71" hidden="1" customWidth="1"/>
    <col min="11541" max="11541" width="5.28515625" style="71" customWidth="1"/>
    <col min="11542" max="11542" width="5.42578125" style="71" customWidth="1"/>
    <col min="11543" max="11543" width="6.42578125" style="71" customWidth="1"/>
    <col min="11544" max="11544" width="5" style="71" customWidth="1"/>
    <col min="11545" max="11545" width="6.28515625" style="71" customWidth="1"/>
    <col min="11546" max="11546" width="6.85546875" style="71" customWidth="1"/>
    <col min="11547" max="11547" width="6.28515625" style="71" customWidth="1"/>
    <col min="11548" max="11548" width="6.85546875" style="71" customWidth="1"/>
    <col min="11549" max="11552" width="6" style="71" customWidth="1"/>
    <col min="11553" max="11553" width="6.28515625" style="71" customWidth="1"/>
    <col min="11554" max="11554" width="5.42578125" style="71" customWidth="1"/>
    <col min="11555" max="11555" width="6.42578125" style="71" customWidth="1"/>
    <col min="11556" max="11556" width="6.7109375" style="71" customWidth="1"/>
    <col min="11557" max="11557" width="6.5703125" style="71" customWidth="1"/>
    <col min="11558" max="11776" width="9.140625" style="71"/>
    <col min="11777" max="11777" width="2.5703125" style="71" customWidth="1"/>
    <col min="11778" max="11778" width="11.28515625" style="71" customWidth="1"/>
    <col min="11779" max="11784" width="0" style="71" hidden="1" customWidth="1"/>
    <col min="11785" max="11785" width="6.28515625" style="71" customWidth="1"/>
    <col min="11786" max="11786" width="5.85546875" style="71" customWidth="1"/>
    <col min="11787" max="11787" width="5.42578125" style="71" customWidth="1"/>
    <col min="11788" max="11788" width="5.28515625" style="71" customWidth="1"/>
    <col min="11789" max="11789" width="5.7109375" style="71" customWidth="1"/>
    <col min="11790" max="11796" width="0" style="71" hidden="1" customWidth="1"/>
    <col min="11797" max="11797" width="5.28515625" style="71" customWidth="1"/>
    <col min="11798" max="11798" width="5.42578125" style="71" customWidth="1"/>
    <col min="11799" max="11799" width="6.42578125" style="71" customWidth="1"/>
    <col min="11800" max="11800" width="5" style="71" customWidth="1"/>
    <col min="11801" max="11801" width="6.28515625" style="71" customWidth="1"/>
    <col min="11802" max="11802" width="6.85546875" style="71" customWidth="1"/>
    <col min="11803" max="11803" width="6.28515625" style="71" customWidth="1"/>
    <col min="11804" max="11804" width="6.85546875" style="71" customWidth="1"/>
    <col min="11805" max="11808" width="6" style="71" customWidth="1"/>
    <col min="11809" max="11809" width="6.28515625" style="71" customWidth="1"/>
    <col min="11810" max="11810" width="5.42578125" style="71" customWidth="1"/>
    <col min="11811" max="11811" width="6.42578125" style="71" customWidth="1"/>
    <col min="11812" max="11812" width="6.7109375" style="71" customWidth="1"/>
    <col min="11813" max="11813" width="6.5703125" style="71" customWidth="1"/>
    <col min="11814" max="12032" width="9.140625" style="71"/>
    <col min="12033" max="12033" width="2.5703125" style="71" customWidth="1"/>
    <col min="12034" max="12034" width="11.28515625" style="71" customWidth="1"/>
    <col min="12035" max="12040" width="0" style="71" hidden="1" customWidth="1"/>
    <col min="12041" max="12041" width="6.28515625" style="71" customWidth="1"/>
    <col min="12042" max="12042" width="5.85546875" style="71" customWidth="1"/>
    <col min="12043" max="12043" width="5.42578125" style="71" customWidth="1"/>
    <col min="12044" max="12044" width="5.28515625" style="71" customWidth="1"/>
    <col min="12045" max="12045" width="5.7109375" style="71" customWidth="1"/>
    <col min="12046" max="12052" width="0" style="71" hidden="1" customWidth="1"/>
    <col min="12053" max="12053" width="5.28515625" style="71" customWidth="1"/>
    <col min="12054" max="12054" width="5.42578125" style="71" customWidth="1"/>
    <col min="12055" max="12055" width="6.42578125" style="71" customWidth="1"/>
    <col min="12056" max="12056" width="5" style="71" customWidth="1"/>
    <col min="12057" max="12057" width="6.28515625" style="71" customWidth="1"/>
    <col min="12058" max="12058" width="6.85546875" style="71" customWidth="1"/>
    <col min="12059" max="12059" width="6.28515625" style="71" customWidth="1"/>
    <col min="12060" max="12060" width="6.85546875" style="71" customWidth="1"/>
    <col min="12061" max="12064" width="6" style="71" customWidth="1"/>
    <col min="12065" max="12065" width="6.28515625" style="71" customWidth="1"/>
    <col min="12066" max="12066" width="5.42578125" style="71" customWidth="1"/>
    <col min="12067" max="12067" width="6.42578125" style="71" customWidth="1"/>
    <col min="12068" max="12068" width="6.7109375" style="71" customWidth="1"/>
    <col min="12069" max="12069" width="6.5703125" style="71" customWidth="1"/>
    <col min="12070" max="12288" width="9.140625" style="71"/>
    <col min="12289" max="12289" width="2.5703125" style="71" customWidth="1"/>
    <col min="12290" max="12290" width="11.28515625" style="71" customWidth="1"/>
    <col min="12291" max="12296" width="0" style="71" hidden="1" customWidth="1"/>
    <col min="12297" max="12297" width="6.28515625" style="71" customWidth="1"/>
    <col min="12298" max="12298" width="5.85546875" style="71" customWidth="1"/>
    <col min="12299" max="12299" width="5.42578125" style="71" customWidth="1"/>
    <col min="12300" max="12300" width="5.28515625" style="71" customWidth="1"/>
    <col min="12301" max="12301" width="5.7109375" style="71" customWidth="1"/>
    <col min="12302" max="12308" width="0" style="71" hidden="1" customWidth="1"/>
    <col min="12309" max="12309" width="5.28515625" style="71" customWidth="1"/>
    <col min="12310" max="12310" width="5.42578125" style="71" customWidth="1"/>
    <col min="12311" max="12311" width="6.42578125" style="71" customWidth="1"/>
    <col min="12312" max="12312" width="5" style="71" customWidth="1"/>
    <col min="12313" max="12313" width="6.28515625" style="71" customWidth="1"/>
    <col min="12314" max="12314" width="6.85546875" style="71" customWidth="1"/>
    <col min="12315" max="12315" width="6.28515625" style="71" customWidth="1"/>
    <col min="12316" max="12316" width="6.85546875" style="71" customWidth="1"/>
    <col min="12317" max="12320" width="6" style="71" customWidth="1"/>
    <col min="12321" max="12321" width="6.28515625" style="71" customWidth="1"/>
    <col min="12322" max="12322" width="5.42578125" style="71" customWidth="1"/>
    <col min="12323" max="12323" width="6.42578125" style="71" customWidth="1"/>
    <col min="12324" max="12324" width="6.7109375" style="71" customWidth="1"/>
    <col min="12325" max="12325" width="6.5703125" style="71" customWidth="1"/>
    <col min="12326" max="12544" width="9.140625" style="71"/>
    <col min="12545" max="12545" width="2.5703125" style="71" customWidth="1"/>
    <col min="12546" max="12546" width="11.28515625" style="71" customWidth="1"/>
    <col min="12547" max="12552" width="0" style="71" hidden="1" customWidth="1"/>
    <col min="12553" max="12553" width="6.28515625" style="71" customWidth="1"/>
    <col min="12554" max="12554" width="5.85546875" style="71" customWidth="1"/>
    <col min="12555" max="12555" width="5.42578125" style="71" customWidth="1"/>
    <col min="12556" max="12556" width="5.28515625" style="71" customWidth="1"/>
    <col min="12557" max="12557" width="5.7109375" style="71" customWidth="1"/>
    <col min="12558" max="12564" width="0" style="71" hidden="1" customWidth="1"/>
    <col min="12565" max="12565" width="5.28515625" style="71" customWidth="1"/>
    <col min="12566" max="12566" width="5.42578125" style="71" customWidth="1"/>
    <col min="12567" max="12567" width="6.42578125" style="71" customWidth="1"/>
    <col min="12568" max="12568" width="5" style="71" customWidth="1"/>
    <col min="12569" max="12569" width="6.28515625" style="71" customWidth="1"/>
    <col min="12570" max="12570" width="6.85546875" style="71" customWidth="1"/>
    <col min="12571" max="12571" width="6.28515625" style="71" customWidth="1"/>
    <col min="12572" max="12572" width="6.85546875" style="71" customWidth="1"/>
    <col min="12573" max="12576" width="6" style="71" customWidth="1"/>
    <col min="12577" max="12577" width="6.28515625" style="71" customWidth="1"/>
    <col min="12578" max="12578" width="5.42578125" style="71" customWidth="1"/>
    <col min="12579" max="12579" width="6.42578125" style="71" customWidth="1"/>
    <col min="12580" max="12580" width="6.7109375" style="71" customWidth="1"/>
    <col min="12581" max="12581" width="6.5703125" style="71" customWidth="1"/>
    <col min="12582" max="12800" width="9.140625" style="71"/>
    <col min="12801" max="12801" width="2.5703125" style="71" customWidth="1"/>
    <col min="12802" max="12802" width="11.28515625" style="71" customWidth="1"/>
    <col min="12803" max="12808" width="0" style="71" hidden="1" customWidth="1"/>
    <col min="12809" max="12809" width="6.28515625" style="71" customWidth="1"/>
    <col min="12810" max="12810" width="5.85546875" style="71" customWidth="1"/>
    <col min="12811" max="12811" width="5.42578125" style="71" customWidth="1"/>
    <col min="12812" max="12812" width="5.28515625" style="71" customWidth="1"/>
    <col min="12813" max="12813" width="5.7109375" style="71" customWidth="1"/>
    <col min="12814" max="12820" width="0" style="71" hidden="1" customWidth="1"/>
    <col min="12821" max="12821" width="5.28515625" style="71" customWidth="1"/>
    <col min="12822" max="12822" width="5.42578125" style="71" customWidth="1"/>
    <col min="12823" max="12823" width="6.42578125" style="71" customWidth="1"/>
    <col min="12824" max="12824" width="5" style="71" customWidth="1"/>
    <col min="12825" max="12825" width="6.28515625" style="71" customWidth="1"/>
    <col min="12826" max="12826" width="6.85546875" style="71" customWidth="1"/>
    <col min="12827" max="12827" width="6.28515625" style="71" customWidth="1"/>
    <col min="12828" max="12828" width="6.85546875" style="71" customWidth="1"/>
    <col min="12829" max="12832" width="6" style="71" customWidth="1"/>
    <col min="12833" max="12833" width="6.28515625" style="71" customWidth="1"/>
    <col min="12834" max="12834" width="5.42578125" style="71" customWidth="1"/>
    <col min="12835" max="12835" width="6.42578125" style="71" customWidth="1"/>
    <col min="12836" max="12836" width="6.7109375" style="71" customWidth="1"/>
    <col min="12837" max="12837" width="6.5703125" style="71" customWidth="1"/>
    <col min="12838" max="13056" width="9.140625" style="71"/>
    <col min="13057" max="13057" width="2.5703125" style="71" customWidth="1"/>
    <col min="13058" max="13058" width="11.28515625" style="71" customWidth="1"/>
    <col min="13059" max="13064" width="0" style="71" hidden="1" customWidth="1"/>
    <col min="13065" max="13065" width="6.28515625" style="71" customWidth="1"/>
    <col min="13066" max="13066" width="5.85546875" style="71" customWidth="1"/>
    <col min="13067" max="13067" width="5.42578125" style="71" customWidth="1"/>
    <col min="13068" max="13068" width="5.28515625" style="71" customWidth="1"/>
    <col min="13069" max="13069" width="5.7109375" style="71" customWidth="1"/>
    <col min="13070" max="13076" width="0" style="71" hidden="1" customWidth="1"/>
    <col min="13077" max="13077" width="5.28515625" style="71" customWidth="1"/>
    <col min="13078" max="13078" width="5.42578125" style="71" customWidth="1"/>
    <col min="13079" max="13079" width="6.42578125" style="71" customWidth="1"/>
    <col min="13080" max="13080" width="5" style="71" customWidth="1"/>
    <col min="13081" max="13081" width="6.28515625" style="71" customWidth="1"/>
    <col min="13082" max="13082" width="6.85546875" style="71" customWidth="1"/>
    <col min="13083" max="13083" width="6.28515625" style="71" customWidth="1"/>
    <col min="13084" max="13084" width="6.85546875" style="71" customWidth="1"/>
    <col min="13085" max="13088" width="6" style="71" customWidth="1"/>
    <col min="13089" max="13089" width="6.28515625" style="71" customWidth="1"/>
    <col min="13090" max="13090" width="5.42578125" style="71" customWidth="1"/>
    <col min="13091" max="13091" width="6.42578125" style="71" customWidth="1"/>
    <col min="13092" max="13092" width="6.7109375" style="71" customWidth="1"/>
    <col min="13093" max="13093" width="6.5703125" style="71" customWidth="1"/>
    <col min="13094" max="13312" width="9.140625" style="71"/>
    <col min="13313" max="13313" width="2.5703125" style="71" customWidth="1"/>
    <col min="13314" max="13314" width="11.28515625" style="71" customWidth="1"/>
    <col min="13315" max="13320" width="0" style="71" hidden="1" customWidth="1"/>
    <col min="13321" max="13321" width="6.28515625" style="71" customWidth="1"/>
    <col min="13322" max="13322" width="5.85546875" style="71" customWidth="1"/>
    <col min="13323" max="13323" width="5.42578125" style="71" customWidth="1"/>
    <col min="13324" max="13324" width="5.28515625" style="71" customWidth="1"/>
    <col min="13325" max="13325" width="5.7109375" style="71" customWidth="1"/>
    <col min="13326" max="13332" width="0" style="71" hidden="1" customWidth="1"/>
    <col min="13333" max="13333" width="5.28515625" style="71" customWidth="1"/>
    <col min="13334" max="13334" width="5.42578125" style="71" customWidth="1"/>
    <col min="13335" max="13335" width="6.42578125" style="71" customWidth="1"/>
    <col min="13336" max="13336" width="5" style="71" customWidth="1"/>
    <col min="13337" max="13337" width="6.28515625" style="71" customWidth="1"/>
    <col min="13338" max="13338" width="6.85546875" style="71" customWidth="1"/>
    <col min="13339" max="13339" width="6.28515625" style="71" customWidth="1"/>
    <col min="13340" max="13340" width="6.85546875" style="71" customWidth="1"/>
    <col min="13341" max="13344" width="6" style="71" customWidth="1"/>
    <col min="13345" max="13345" width="6.28515625" style="71" customWidth="1"/>
    <col min="13346" max="13346" width="5.42578125" style="71" customWidth="1"/>
    <col min="13347" max="13347" width="6.42578125" style="71" customWidth="1"/>
    <col min="13348" max="13348" width="6.7109375" style="71" customWidth="1"/>
    <col min="13349" max="13349" width="6.5703125" style="71" customWidth="1"/>
    <col min="13350" max="13568" width="9.140625" style="71"/>
    <col min="13569" max="13569" width="2.5703125" style="71" customWidth="1"/>
    <col min="13570" max="13570" width="11.28515625" style="71" customWidth="1"/>
    <col min="13571" max="13576" width="0" style="71" hidden="1" customWidth="1"/>
    <col min="13577" max="13577" width="6.28515625" style="71" customWidth="1"/>
    <col min="13578" max="13578" width="5.85546875" style="71" customWidth="1"/>
    <col min="13579" max="13579" width="5.42578125" style="71" customWidth="1"/>
    <col min="13580" max="13580" width="5.28515625" style="71" customWidth="1"/>
    <col min="13581" max="13581" width="5.7109375" style="71" customWidth="1"/>
    <col min="13582" max="13588" width="0" style="71" hidden="1" customWidth="1"/>
    <col min="13589" max="13589" width="5.28515625" style="71" customWidth="1"/>
    <col min="13590" max="13590" width="5.42578125" style="71" customWidth="1"/>
    <col min="13591" max="13591" width="6.42578125" style="71" customWidth="1"/>
    <col min="13592" max="13592" width="5" style="71" customWidth="1"/>
    <col min="13593" max="13593" width="6.28515625" style="71" customWidth="1"/>
    <col min="13594" max="13594" width="6.85546875" style="71" customWidth="1"/>
    <col min="13595" max="13595" width="6.28515625" style="71" customWidth="1"/>
    <col min="13596" max="13596" width="6.85546875" style="71" customWidth="1"/>
    <col min="13597" max="13600" width="6" style="71" customWidth="1"/>
    <col min="13601" max="13601" width="6.28515625" style="71" customWidth="1"/>
    <col min="13602" max="13602" width="5.42578125" style="71" customWidth="1"/>
    <col min="13603" max="13603" width="6.42578125" style="71" customWidth="1"/>
    <col min="13604" max="13604" width="6.7109375" style="71" customWidth="1"/>
    <col min="13605" max="13605" width="6.5703125" style="71" customWidth="1"/>
    <col min="13606" max="13824" width="9.140625" style="71"/>
    <col min="13825" max="13825" width="2.5703125" style="71" customWidth="1"/>
    <col min="13826" max="13826" width="11.28515625" style="71" customWidth="1"/>
    <col min="13827" max="13832" width="0" style="71" hidden="1" customWidth="1"/>
    <col min="13833" max="13833" width="6.28515625" style="71" customWidth="1"/>
    <col min="13834" max="13834" width="5.85546875" style="71" customWidth="1"/>
    <col min="13835" max="13835" width="5.42578125" style="71" customWidth="1"/>
    <col min="13836" max="13836" width="5.28515625" style="71" customWidth="1"/>
    <col min="13837" max="13837" width="5.7109375" style="71" customWidth="1"/>
    <col min="13838" max="13844" width="0" style="71" hidden="1" customWidth="1"/>
    <col min="13845" max="13845" width="5.28515625" style="71" customWidth="1"/>
    <col min="13846" max="13846" width="5.42578125" style="71" customWidth="1"/>
    <col min="13847" max="13847" width="6.42578125" style="71" customWidth="1"/>
    <col min="13848" max="13848" width="5" style="71" customWidth="1"/>
    <col min="13849" max="13849" width="6.28515625" style="71" customWidth="1"/>
    <col min="13850" max="13850" width="6.85546875" style="71" customWidth="1"/>
    <col min="13851" max="13851" width="6.28515625" style="71" customWidth="1"/>
    <col min="13852" max="13852" width="6.85546875" style="71" customWidth="1"/>
    <col min="13853" max="13856" width="6" style="71" customWidth="1"/>
    <col min="13857" max="13857" width="6.28515625" style="71" customWidth="1"/>
    <col min="13858" max="13858" width="5.42578125" style="71" customWidth="1"/>
    <col min="13859" max="13859" width="6.42578125" style="71" customWidth="1"/>
    <col min="13860" max="13860" width="6.7109375" style="71" customWidth="1"/>
    <col min="13861" max="13861" width="6.5703125" style="71" customWidth="1"/>
    <col min="13862" max="14080" width="9.140625" style="71"/>
    <col min="14081" max="14081" width="2.5703125" style="71" customWidth="1"/>
    <col min="14082" max="14082" width="11.28515625" style="71" customWidth="1"/>
    <col min="14083" max="14088" width="0" style="71" hidden="1" customWidth="1"/>
    <col min="14089" max="14089" width="6.28515625" style="71" customWidth="1"/>
    <col min="14090" max="14090" width="5.85546875" style="71" customWidth="1"/>
    <col min="14091" max="14091" width="5.42578125" style="71" customWidth="1"/>
    <col min="14092" max="14092" width="5.28515625" style="71" customWidth="1"/>
    <col min="14093" max="14093" width="5.7109375" style="71" customWidth="1"/>
    <col min="14094" max="14100" width="0" style="71" hidden="1" customWidth="1"/>
    <col min="14101" max="14101" width="5.28515625" style="71" customWidth="1"/>
    <col min="14102" max="14102" width="5.42578125" style="71" customWidth="1"/>
    <col min="14103" max="14103" width="6.42578125" style="71" customWidth="1"/>
    <col min="14104" max="14104" width="5" style="71" customWidth="1"/>
    <col min="14105" max="14105" width="6.28515625" style="71" customWidth="1"/>
    <col min="14106" max="14106" width="6.85546875" style="71" customWidth="1"/>
    <col min="14107" max="14107" width="6.28515625" style="71" customWidth="1"/>
    <col min="14108" max="14108" width="6.85546875" style="71" customWidth="1"/>
    <col min="14109" max="14112" width="6" style="71" customWidth="1"/>
    <col min="14113" max="14113" width="6.28515625" style="71" customWidth="1"/>
    <col min="14114" max="14114" width="5.42578125" style="71" customWidth="1"/>
    <col min="14115" max="14115" width="6.42578125" style="71" customWidth="1"/>
    <col min="14116" max="14116" width="6.7109375" style="71" customWidth="1"/>
    <col min="14117" max="14117" width="6.5703125" style="71" customWidth="1"/>
    <col min="14118" max="14336" width="9.140625" style="71"/>
    <col min="14337" max="14337" width="2.5703125" style="71" customWidth="1"/>
    <col min="14338" max="14338" width="11.28515625" style="71" customWidth="1"/>
    <col min="14339" max="14344" width="0" style="71" hidden="1" customWidth="1"/>
    <col min="14345" max="14345" width="6.28515625" style="71" customWidth="1"/>
    <col min="14346" max="14346" width="5.85546875" style="71" customWidth="1"/>
    <col min="14347" max="14347" width="5.42578125" style="71" customWidth="1"/>
    <col min="14348" max="14348" width="5.28515625" style="71" customWidth="1"/>
    <col min="14349" max="14349" width="5.7109375" style="71" customWidth="1"/>
    <col min="14350" max="14356" width="0" style="71" hidden="1" customWidth="1"/>
    <col min="14357" max="14357" width="5.28515625" style="71" customWidth="1"/>
    <col min="14358" max="14358" width="5.42578125" style="71" customWidth="1"/>
    <col min="14359" max="14359" width="6.42578125" style="71" customWidth="1"/>
    <col min="14360" max="14360" width="5" style="71" customWidth="1"/>
    <col min="14361" max="14361" width="6.28515625" style="71" customWidth="1"/>
    <col min="14362" max="14362" width="6.85546875" style="71" customWidth="1"/>
    <col min="14363" max="14363" width="6.28515625" style="71" customWidth="1"/>
    <col min="14364" max="14364" width="6.85546875" style="71" customWidth="1"/>
    <col min="14365" max="14368" width="6" style="71" customWidth="1"/>
    <col min="14369" max="14369" width="6.28515625" style="71" customWidth="1"/>
    <col min="14370" max="14370" width="5.42578125" style="71" customWidth="1"/>
    <col min="14371" max="14371" width="6.42578125" style="71" customWidth="1"/>
    <col min="14372" max="14372" width="6.7109375" style="71" customWidth="1"/>
    <col min="14373" max="14373" width="6.5703125" style="71" customWidth="1"/>
    <col min="14374" max="14592" width="9.140625" style="71"/>
    <col min="14593" max="14593" width="2.5703125" style="71" customWidth="1"/>
    <col min="14594" max="14594" width="11.28515625" style="71" customWidth="1"/>
    <col min="14595" max="14600" width="0" style="71" hidden="1" customWidth="1"/>
    <col min="14601" max="14601" width="6.28515625" style="71" customWidth="1"/>
    <col min="14602" max="14602" width="5.85546875" style="71" customWidth="1"/>
    <col min="14603" max="14603" width="5.42578125" style="71" customWidth="1"/>
    <col min="14604" max="14604" width="5.28515625" style="71" customWidth="1"/>
    <col min="14605" max="14605" width="5.7109375" style="71" customWidth="1"/>
    <col min="14606" max="14612" width="0" style="71" hidden="1" customWidth="1"/>
    <col min="14613" max="14613" width="5.28515625" style="71" customWidth="1"/>
    <col min="14614" max="14614" width="5.42578125" style="71" customWidth="1"/>
    <col min="14615" max="14615" width="6.42578125" style="71" customWidth="1"/>
    <col min="14616" max="14616" width="5" style="71" customWidth="1"/>
    <col min="14617" max="14617" width="6.28515625" style="71" customWidth="1"/>
    <col min="14618" max="14618" width="6.85546875" style="71" customWidth="1"/>
    <col min="14619" max="14619" width="6.28515625" style="71" customWidth="1"/>
    <col min="14620" max="14620" width="6.85546875" style="71" customWidth="1"/>
    <col min="14621" max="14624" width="6" style="71" customWidth="1"/>
    <col min="14625" max="14625" width="6.28515625" style="71" customWidth="1"/>
    <col min="14626" max="14626" width="5.42578125" style="71" customWidth="1"/>
    <col min="14627" max="14627" width="6.42578125" style="71" customWidth="1"/>
    <col min="14628" max="14628" width="6.7109375" style="71" customWidth="1"/>
    <col min="14629" max="14629" width="6.5703125" style="71" customWidth="1"/>
    <col min="14630" max="14848" width="9.140625" style="71"/>
    <col min="14849" max="14849" width="2.5703125" style="71" customWidth="1"/>
    <col min="14850" max="14850" width="11.28515625" style="71" customWidth="1"/>
    <col min="14851" max="14856" width="0" style="71" hidden="1" customWidth="1"/>
    <col min="14857" max="14857" width="6.28515625" style="71" customWidth="1"/>
    <col min="14858" max="14858" width="5.85546875" style="71" customWidth="1"/>
    <col min="14859" max="14859" width="5.42578125" style="71" customWidth="1"/>
    <col min="14860" max="14860" width="5.28515625" style="71" customWidth="1"/>
    <col min="14861" max="14861" width="5.7109375" style="71" customWidth="1"/>
    <col min="14862" max="14868" width="0" style="71" hidden="1" customWidth="1"/>
    <col min="14869" max="14869" width="5.28515625" style="71" customWidth="1"/>
    <col min="14870" max="14870" width="5.42578125" style="71" customWidth="1"/>
    <col min="14871" max="14871" width="6.42578125" style="71" customWidth="1"/>
    <col min="14872" max="14872" width="5" style="71" customWidth="1"/>
    <col min="14873" max="14873" width="6.28515625" style="71" customWidth="1"/>
    <col min="14874" max="14874" width="6.85546875" style="71" customWidth="1"/>
    <col min="14875" max="14875" width="6.28515625" style="71" customWidth="1"/>
    <col min="14876" max="14876" width="6.85546875" style="71" customWidth="1"/>
    <col min="14877" max="14880" width="6" style="71" customWidth="1"/>
    <col min="14881" max="14881" width="6.28515625" style="71" customWidth="1"/>
    <col min="14882" max="14882" width="5.42578125" style="71" customWidth="1"/>
    <col min="14883" max="14883" width="6.42578125" style="71" customWidth="1"/>
    <col min="14884" max="14884" width="6.7109375" style="71" customWidth="1"/>
    <col min="14885" max="14885" width="6.5703125" style="71" customWidth="1"/>
    <col min="14886" max="15104" width="9.140625" style="71"/>
    <col min="15105" max="15105" width="2.5703125" style="71" customWidth="1"/>
    <col min="15106" max="15106" width="11.28515625" style="71" customWidth="1"/>
    <col min="15107" max="15112" width="0" style="71" hidden="1" customWidth="1"/>
    <col min="15113" max="15113" width="6.28515625" style="71" customWidth="1"/>
    <col min="15114" max="15114" width="5.85546875" style="71" customWidth="1"/>
    <col min="15115" max="15115" width="5.42578125" style="71" customWidth="1"/>
    <col min="15116" max="15116" width="5.28515625" style="71" customWidth="1"/>
    <col min="15117" max="15117" width="5.7109375" style="71" customWidth="1"/>
    <col min="15118" max="15124" width="0" style="71" hidden="1" customWidth="1"/>
    <col min="15125" max="15125" width="5.28515625" style="71" customWidth="1"/>
    <col min="15126" max="15126" width="5.42578125" style="71" customWidth="1"/>
    <col min="15127" max="15127" width="6.42578125" style="71" customWidth="1"/>
    <col min="15128" max="15128" width="5" style="71" customWidth="1"/>
    <col min="15129" max="15129" width="6.28515625" style="71" customWidth="1"/>
    <col min="15130" max="15130" width="6.85546875" style="71" customWidth="1"/>
    <col min="15131" max="15131" width="6.28515625" style="71" customWidth="1"/>
    <col min="15132" max="15132" width="6.85546875" style="71" customWidth="1"/>
    <col min="15133" max="15136" width="6" style="71" customWidth="1"/>
    <col min="15137" max="15137" width="6.28515625" style="71" customWidth="1"/>
    <col min="15138" max="15138" width="5.42578125" style="71" customWidth="1"/>
    <col min="15139" max="15139" width="6.42578125" style="71" customWidth="1"/>
    <col min="15140" max="15140" width="6.7109375" style="71" customWidth="1"/>
    <col min="15141" max="15141" width="6.5703125" style="71" customWidth="1"/>
    <col min="15142" max="15360" width="9.140625" style="71"/>
    <col min="15361" max="15361" width="2.5703125" style="71" customWidth="1"/>
    <col min="15362" max="15362" width="11.28515625" style="71" customWidth="1"/>
    <col min="15363" max="15368" width="0" style="71" hidden="1" customWidth="1"/>
    <col min="15369" max="15369" width="6.28515625" style="71" customWidth="1"/>
    <col min="15370" max="15370" width="5.85546875" style="71" customWidth="1"/>
    <col min="15371" max="15371" width="5.42578125" style="71" customWidth="1"/>
    <col min="15372" max="15372" width="5.28515625" style="71" customWidth="1"/>
    <col min="15373" max="15373" width="5.7109375" style="71" customWidth="1"/>
    <col min="15374" max="15380" width="0" style="71" hidden="1" customWidth="1"/>
    <col min="15381" max="15381" width="5.28515625" style="71" customWidth="1"/>
    <col min="15382" max="15382" width="5.42578125" style="71" customWidth="1"/>
    <col min="15383" max="15383" width="6.42578125" style="71" customWidth="1"/>
    <col min="15384" max="15384" width="5" style="71" customWidth="1"/>
    <col min="15385" max="15385" width="6.28515625" style="71" customWidth="1"/>
    <col min="15386" max="15386" width="6.85546875" style="71" customWidth="1"/>
    <col min="15387" max="15387" width="6.28515625" style="71" customWidth="1"/>
    <col min="15388" max="15388" width="6.85546875" style="71" customWidth="1"/>
    <col min="15389" max="15392" width="6" style="71" customWidth="1"/>
    <col min="15393" max="15393" width="6.28515625" style="71" customWidth="1"/>
    <col min="15394" max="15394" width="5.42578125" style="71" customWidth="1"/>
    <col min="15395" max="15395" width="6.42578125" style="71" customWidth="1"/>
    <col min="15396" max="15396" width="6.7109375" style="71" customWidth="1"/>
    <col min="15397" max="15397" width="6.5703125" style="71" customWidth="1"/>
    <col min="15398" max="15616" width="9.140625" style="71"/>
    <col min="15617" max="15617" width="2.5703125" style="71" customWidth="1"/>
    <col min="15618" max="15618" width="11.28515625" style="71" customWidth="1"/>
    <col min="15619" max="15624" width="0" style="71" hidden="1" customWidth="1"/>
    <col min="15625" max="15625" width="6.28515625" style="71" customWidth="1"/>
    <col min="15626" max="15626" width="5.85546875" style="71" customWidth="1"/>
    <col min="15627" max="15627" width="5.42578125" style="71" customWidth="1"/>
    <col min="15628" max="15628" width="5.28515625" style="71" customWidth="1"/>
    <col min="15629" max="15629" width="5.7109375" style="71" customWidth="1"/>
    <col min="15630" max="15636" width="0" style="71" hidden="1" customWidth="1"/>
    <col min="15637" max="15637" width="5.28515625" style="71" customWidth="1"/>
    <col min="15638" max="15638" width="5.42578125" style="71" customWidth="1"/>
    <col min="15639" max="15639" width="6.42578125" style="71" customWidth="1"/>
    <col min="15640" max="15640" width="5" style="71" customWidth="1"/>
    <col min="15641" max="15641" width="6.28515625" style="71" customWidth="1"/>
    <col min="15642" max="15642" width="6.85546875" style="71" customWidth="1"/>
    <col min="15643" max="15643" width="6.28515625" style="71" customWidth="1"/>
    <col min="15644" max="15644" width="6.85546875" style="71" customWidth="1"/>
    <col min="15645" max="15648" width="6" style="71" customWidth="1"/>
    <col min="15649" max="15649" width="6.28515625" style="71" customWidth="1"/>
    <col min="15650" max="15650" width="5.42578125" style="71" customWidth="1"/>
    <col min="15651" max="15651" width="6.42578125" style="71" customWidth="1"/>
    <col min="15652" max="15652" width="6.7109375" style="71" customWidth="1"/>
    <col min="15653" max="15653" width="6.5703125" style="71" customWidth="1"/>
    <col min="15654" max="15872" width="9.140625" style="71"/>
    <col min="15873" max="15873" width="2.5703125" style="71" customWidth="1"/>
    <col min="15874" max="15874" width="11.28515625" style="71" customWidth="1"/>
    <col min="15875" max="15880" width="0" style="71" hidden="1" customWidth="1"/>
    <col min="15881" max="15881" width="6.28515625" style="71" customWidth="1"/>
    <col min="15882" max="15882" width="5.85546875" style="71" customWidth="1"/>
    <col min="15883" max="15883" width="5.42578125" style="71" customWidth="1"/>
    <col min="15884" max="15884" width="5.28515625" style="71" customWidth="1"/>
    <col min="15885" max="15885" width="5.7109375" style="71" customWidth="1"/>
    <col min="15886" max="15892" width="0" style="71" hidden="1" customWidth="1"/>
    <col min="15893" max="15893" width="5.28515625" style="71" customWidth="1"/>
    <col min="15894" max="15894" width="5.42578125" style="71" customWidth="1"/>
    <col min="15895" max="15895" width="6.42578125" style="71" customWidth="1"/>
    <col min="15896" max="15896" width="5" style="71" customWidth="1"/>
    <col min="15897" max="15897" width="6.28515625" style="71" customWidth="1"/>
    <col min="15898" max="15898" width="6.85546875" style="71" customWidth="1"/>
    <col min="15899" max="15899" width="6.28515625" style="71" customWidth="1"/>
    <col min="15900" max="15900" width="6.85546875" style="71" customWidth="1"/>
    <col min="15901" max="15904" width="6" style="71" customWidth="1"/>
    <col min="15905" max="15905" width="6.28515625" style="71" customWidth="1"/>
    <col min="15906" max="15906" width="5.42578125" style="71" customWidth="1"/>
    <col min="15907" max="15907" width="6.42578125" style="71" customWidth="1"/>
    <col min="15908" max="15908" width="6.7109375" style="71" customWidth="1"/>
    <col min="15909" max="15909" width="6.5703125" style="71" customWidth="1"/>
    <col min="15910" max="16128" width="9.140625" style="71"/>
    <col min="16129" max="16129" width="2.5703125" style="71" customWidth="1"/>
    <col min="16130" max="16130" width="11.28515625" style="71" customWidth="1"/>
    <col min="16131" max="16136" width="0" style="71" hidden="1" customWidth="1"/>
    <col min="16137" max="16137" width="6.28515625" style="71" customWidth="1"/>
    <col min="16138" max="16138" width="5.85546875" style="71" customWidth="1"/>
    <col min="16139" max="16139" width="5.42578125" style="71" customWidth="1"/>
    <col min="16140" max="16140" width="5.28515625" style="71" customWidth="1"/>
    <col min="16141" max="16141" width="5.7109375" style="71" customWidth="1"/>
    <col min="16142" max="16148" width="0" style="71" hidden="1" customWidth="1"/>
    <col min="16149" max="16149" width="5.28515625" style="71" customWidth="1"/>
    <col min="16150" max="16150" width="5.42578125" style="71" customWidth="1"/>
    <col min="16151" max="16151" width="6.42578125" style="71" customWidth="1"/>
    <col min="16152" max="16152" width="5" style="71" customWidth="1"/>
    <col min="16153" max="16153" width="6.28515625" style="71" customWidth="1"/>
    <col min="16154" max="16154" width="6.85546875" style="71" customWidth="1"/>
    <col min="16155" max="16155" width="6.28515625" style="71" customWidth="1"/>
    <col min="16156" max="16156" width="6.85546875" style="71" customWidth="1"/>
    <col min="16157" max="16160" width="6" style="71" customWidth="1"/>
    <col min="16161" max="16161" width="6.28515625" style="71" customWidth="1"/>
    <col min="16162" max="16162" width="5.42578125" style="71" customWidth="1"/>
    <col min="16163" max="16163" width="6.42578125" style="71" customWidth="1"/>
    <col min="16164" max="16164" width="6.7109375" style="71" customWidth="1"/>
    <col min="16165" max="16165" width="6.5703125" style="71" customWidth="1"/>
    <col min="16166" max="16384" width="9.140625" style="71"/>
  </cols>
  <sheetData>
    <row r="1" spans="1:38">
      <c r="AJ1" s="294" t="s">
        <v>228</v>
      </c>
      <c r="AK1" s="294"/>
    </row>
    <row r="2" spans="1:38" ht="19.5" customHeight="1">
      <c r="B2" s="72" t="s">
        <v>146</v>
      </c>
      <c r="C2" s="72"/>
      <c r="D2" s="72"/>
      <c r="E2" s="72"/>
      <c r="F2" s="72"/>
      <c r="G2" s="72"/>
      <c r="H2" s="72"/>
    </row>
    <row r="3" spans="1:38" ht="12.75" customHeight="1">
      <c r="A3" s="302" t="s">
        <v>147</v>
      </c>
      <c r="B3" s="303" t="s">
        <v>148</v>
      </c>
      <c r="C3" s="73"/>
      <c r="D3" s="73"/>
      <c r="E3" s="73"/>
      <c r="F3" s="73"/>
      <c r="G3" s="73"/>
      <c r="H3" s="73"/>
      <c r="I3" s="305" t="s">
        <v>149</v>
      </c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295" t="s">
        <v>150</v>
      </c>
      <c r="AA3" s="295" t="s">
        <v>151</v>
      </c>
      <c r="AB3" s="295" t="s">
        <v>152</v>
      </c>
      <c r="AC3" s="296" t="s">
        <v>153</v>
      </c>
      <c r="AD3" s="296"/>
      <c r="AE3" s="296"/>
      <c r="AF3" s="296"/>
      <c r="AG3" s="295" t="s">
        <v>154</v>
      </c>
      <c r="AH3" s="295" t="s">
        <v>155</v>
      </c>
      <c r="AI3" s="295" t="s">
        <v>156</v>
      </c>
      <c r="AJ3" s="297" t="s">
        <v>157</v>
      </c>
      <c r="AK3" s="298"/>
    </row>
    <row r="4" spans="1:38" ht="12" customHeight="1">
      <c r="A4" s="302"/>
      <c r="B4" s="304"/>
      <c r="C4" s="306" t="s">
        <v>158</v>
      </c>
      <c r="D4" s="307" t="s">
        <v>159</v>
      </c>
      <c r="E4" s="307" t="s">
        <v>160</v>
      </c>
      <c r="F4" s="307" t="s">
        <v>161</v>
      </c>
      <c r="G4" s="307" t="s">
        <v>162</v>
      </c>
      <c r="H4" s="307" t="s">
        <v>163</v>
      </c>
      <c r="I4" s="299" t="s">
        <v>105</v>
      </c>
      <c r="J4" s="302" t="s">
        <v>164</v>
      </c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297" t="s">
        <v>157</v>
      </c>
      <c r="V4" s="316"/>
      <c r="W4" s="316"/>
      <c r="X4" s="316"/>
      <c r="Y4" s="298"/>
      <c r="Z4" s="295"/>
      <c r="AA4" s="295"/>
      <c r="AB4" s="295"/>
      <c r="AC4" s="299" t="s">
        <v>165</v>
      </c>
      <c r="AD4" s="299" t="s">
        <v>166</v>
      </c>
      <c r="AE4" s="299" t="s">
        <v>167</v>
      </c>
      <c r="AF4" s="299" t="s">
        <v>168</v>
      </c>
      <c r="AG4" s="295"/>
      <c r="AH4" s="295"/>
      <c r="AI4" s="295"/>
      <c r="AJ4" s="295" t="s">
        <v>169</v>
      </c>
      <c r="AK4" s="295" t="s">
        <v>170</v>
      </c>
    </row>
    <row r="5" spans="1:38" ht="11.25" customHeight="1">
      <c r="A5" s="302"/>
      <c r="B5" s="304"/>
      <c r="C5" s="306"/>
      <c r="D5" s="307"/>
      <c r="E5" s="307"/>
      <c r="F5" s="307"/>
      <c r="G5" s="307"/>
      <c r="H5" s="307"/>
      <c r="I5" s="300"/>
      <c r="J5" s="299" t="s">
        <v>105</v>
      </c>
      <c r="K5" s="308" t="s">
        <v>171</v>
      </c>
      <c r="L5" s="309"/>
      <c r="M5" s="310"/>
      <c r="N5" s="311" t="s">
        <v>172</v>
      </c>
      <c r="O5" s="312" t="s">
        <v>173</v>
      </c>
      <c r="P5" s="313" t="s">
        <v>174</v>
      </c>
      <c r="Q5" s="313" t="s">
        <v>175</v>
      </c>
      <c r="R5" s="57"/>
      <c r="S5" s="313" t="s">
        <v>176</v>
      </c>
      <c r="T5" s="312" t="s">
        <v>177</v>
      </c>
      <c r="U5" s="314" t="s">
        <v>178</v>
      </c>
      <c r="V5" s="314" t="s">
        <v>179</v>
      </c>
      <c r="W5" s="314" t="s">
        <v>180</v>
      </c>
      <c r="X5" s="314" t="s">
        <v>181</v>
      </c>
      <c r="Y5" s="315" t="s">
        <v>182</v>
      </c>
      <c r="Z5" s="295"/>
      <c r="AA5" s="295"/>
      <c r="AB5" s="295"/>
      <c r="AC5" s="300"/>
      <c r="AD5" s="300"/>
      <c r="AE5" s="300"/>
      <c r="AF5" s="300"/>
      <c r="AG5" s="295"/>
      <c r="AH5" s="295"/>
      <c r="AI5" s="295"/>
      <c r="AJ5" s="295"/>
      <c r="AK5" s="295"/>
    </row>
    <row r="6" spans="1:38" ht="11.25" customHeight="1">
      <c r="A6" s="302"/>
      <c r="B6" s="304"/>
      <c r="C6" s="306"/>
      <c r="D6" s="307"/>
      <c r="E6" s="307"/>
      <c r="F6" s="307"/>
      <c r="G6" s="307"/>
      <c r="H6" s="307"/>
      <c r="I6" s="300"/>
      <c r="J6" s="300"/>
      <c r="K6" s="299" t="s">
        <v>183</v>
      </c>
      <c r="L6" s="299" t="s">
        <v>184</v>
      </c>
      <c r="M6" s="299" t="s">
        <v>185</v>
      </c>
      <c r="N6" s="311"/>
      <c r="O6" s="312"/>
      <c r="P6" s="313"/>
      <c r="Q6" s="313"/>
      <c r="R6" s="57"/>
      <c r="S6" s="313"/>
      <c r="T6" s="312"/>
      <c r="U6" s="314"/>
      <c r="V6" s="314"/>
      <c r="W6" s="314"/>
      <c r="X6" s="314"/>
      <c r="Y6" s="312"/>
      <c r="Z6" s="295"/>
      <c r="AA6" s="295"/>
      <c r="AB6" s="295"/>
      <c r="AC6" s="300"/>
      <c r="AD6" s="300"/>
      <c r="AE6" s="300"/>
      <c r="AF6" s="300"/>
      <c r="AG6" s="295"/>
      <c r="AH6" s="295"/>
      <c r="AI6" s="295"/>
      <c r="AJ6" s="295"/>
      <c r="AK6" s="295"/>
    </row>
    <row r="7" spans="1:38" ht="11.25" customHeight="1">
      <c r="A7" s="302"/>
      <c r="B7" s="304"/>
      <c r="C7" s="306"/>
      <c r="D7" s="307"/>
      <c r="E7" s="307"/>
      <c r="F7" s="307"/>
      <c r="G7" s="307"/>
      <c r="H7" s="307"/>
      <c r="I7" s="300"/>
      <c r="J7" s="300"/>
      <c r="K7" s="300"/>
      <c r="L7" s="300"/>
      <c r="M7" s="300"/>
      <c r="N7" s="311"/>
      <c r="O7" s="312"/>
      <c r="P7" s="313"/>
      <c r="Q7" s="313"/>
      <c r="R7" s="57"/>
      <c r="S7" s="313"/>
      <c r="T7" s="312"/>
      <c r="U7" s="314"/>
      <c r="V7" s="314"/>
      <c r="W7" s="314"/>
      <c r="X7" s="314"/>
      <c r="Y7" s="312"/>
      <c r="Z7" s="295"/>
      <c r="AA7" s="295"/>
      <c r="AB7" s="295"/>
      <c r="AC7" s="300"/>
      <c r="AD7" s="300"/>
      <c r="AE7" s="300"/>
      <c r="AF7" s="300"/>
      <c r="AG7" s="295"/>
      <c r="AH7" s="295"/>
      <c r="AI7" s="295"/>
      <c r="AJ7" s="295"/>
      <c r="AK7" s="295"/>
    </row>
    <row r="8" spans="1:38" ht="18.75" customHeight="1">
      <c r="A8" s="302"/>
      <c r="B8" s="304"/>
      <c r="C8" s="306"/>
      <c r="D8" s="307"/>
      <c r="E8" s="307"/>
      <c r="F8" s="307"/>
      <c r="G8" s="307"/>
      <c r="H8" s="307"/>
      <c r="I8" s="300"/>
      <c r="J8" s="300"/>
      <c r="K8" s="300"/>
      <c r="L8" s="300"/>
      <c r="M8" s="300"/>
      <c r="N8" s="307"/>
      <c r="O8" s="312"/>
      <c r="P8" s="314"/>
      <c r="Q8" s="314"/>
      <c r="R8" s="58"/>
      <c r="S8" s="314"/>
      <c r="T8" s="312"/>
      <c r="U8" s="314"/>
      <c r="V8" s="314"/>
      <c r="W8" s="314"/>
      <c r="X8" s="314"/>
      <c r="Y8" s="312"/>
      <c r="Z8" s="295"/>
      <c r="AA8" s="295"/>
      <c r="AB8" s="295"/>
      <c r="AC8" s="300"/>
      <c r="AD8" s="300"/>
      <c r="AE8" s="300"/>
      <c r="AF8" s="300"/>
      <c r="AG8" s="295"/>
      <c r="AH8" s="295"/>
      <c r="AI8" s="295"/>
      <c r="AJ8" s="295"/>
      <c r="AK8" s="295"/>
    </row>
    <row r="9" spans="1:38" ht="126" customHeight="1">
      <c r="A9" s="302"/>
      <c r="B9" s="304"/>
      <c r="C9" s="306"/>
      <c r="D9" s="307"/>
      <c r="E9" s="307"/>
      <c r="F9" s="307"/>
      <c r="G9" s="307"/>
      <c r="H9" s="307"/>
      <c r="I9" s="301"/>
      <c r="J9" s="301"/>
      <c r="K9" s="301"/>
      <c r="L9" s="301"/>
      <c r="M9" s="301"/>
      <c r="N9" s="307"/>
      <c r="O9" s="313"/>
      <c r="P9" s="314"/>
      <c r="Q9" s="314"/>
      <c r="R9" s="58"/>
      <c r="S9" s="314"/>
      <c r="T9" s="313"/>
      <c r="U9" s="314"/>
      <c r="V9" s="314"/>
      <c r="W9" s="314"/>
      <c r="X9" s="314"/>
      <c r="Y9" s="313"/>
      <c r="Z9" s="295"/>
      <c r="AA9" s="295"/>
      <c r="AB9" s="295"/>
      <c r="AC9" s="301"/>
      <c r="AD9" s="301"/>
      <c r="AE9" s="301"/>
      <c r="AF9" s="301"/>
      <c r="AG9" s="295"/>
      <c r="AH9" s="295"/>
      <c r="AI9" s="295"/>
      <c r="AJ9" s="295"/>
      <c r="AK9" s="295"/>
    </row>
    <row r="10" spans="1:38" s="75" customFormat="1">
      <c r="A10" s="59">
        <v>1</v>
      </c>
      <c r="B10" s="59">
        <v>2</v>
      </c>
      <c r="C10" s="60">
        <v>3</v>
      </c>
      <c r="D10" s="59"/>
      <c r="E10" s="59"/>
      <c r="F10" s="59"/>
      <c r="G10" s="59"/>
      <c r="H10" s="59"/>
      <c r="I10" s="61">
        <v>3</v>
      </c>
      <c r="J10" s="61">
        <v>4</v>
      </c>
      <c r="K10" s="61">
        <v>5</v>
      </c>
      <c r="L10" s="62">
        <v>6</v>
      </c>
      <c r="M10" s="74">
        <v>7</v>
      </c>
      <c r="N10" s="59"/>
      <c r="O10" s="63"/>
      <c r="P10" s="64"/>
      <c r="Q10" s="64"/>
      <c r="R10" s="64"/>
      <c r="S10" s="64"/>
      <c r="T10" s="63"/>
      <c r="U10" s="59">
        <v>8</v>
      </c>
      <c r="V10" s="59">
        <v>9</v>
      </c>
      <c r="W10" s="59">
        <v>10</v>
      </c>
      <c r="X10" s="59">
        <v>11</v>
      </c>
      <c r="Y10" s="61">
        <v>12</v>
      </c>
      <c r="Z10" s="59">
        <v>13</v>
      </c>
      <c r="AA10" s="59">
        <v>14</v>
      </c>
      <c r="AB10" s="59">
        <v>15</v>
      </c>
      <c r="AC10" s="59">
        <v>16</v>
      </c>
      <c r="AD10" s="59">
        <v>17</v>
      </c>
      <c r="AE10" s="59">
        <v>18</v>
      </c>
      <c r="AF10" s="59">
        <v>19</v>
      </c>
      <c r="AG10" s="59">
        <v>20</v>
      </c>
      <c r="AH10" s="59">
        <v>21</v>
      </c>
      <c r="AI10" s="59">
        <v>22</v>
      </c>
      <c r="AJ10" s="59">
        <v>23</v>
      </c>
      <c r="AK10" s="59">
        <v>24</v>
      </c>
    </row>
    <row r="11" spans="1:38">
      <c r="A11" s="45">
        <v>1</v>
      </c>
      <c r="B11" s="45" t="s">
        <v>186</v>
      </c>
      <c r="C11" s="45">
        <f>+[2]Sheet1!C6</f>
        <v>503</v>
      </c>
      <c r="D11" s="45" t="e">
        <f>+[2]Sheet1!D6</f>
        <v>#REF!</v>
      </c>
      <c r="E11" s="45" t="e">
        <f>+[2]Sheet1!E6</f>
        <v>#REF!</v>
      </c>
      <c r="F11" s="45">
        <f>+[2]Sheet1!H6</f>
        <v>732.13660000000004</v>
      </c>
      <c r="G11" s="45" t="e">
        <f>+[2]Sheet1!K6</f>
        <v>#REF!</v>
      </c>
      <c r="H11" s="45" t="e">
        <f>+[2]Sheet1!L6</f>
        <v>#REF!</v>
      </c>
      <c r="I11" s="44">
        <v>2359</v>
      </c>
      <c r="J11" s="45">
        <v>141.5</v>
      </c>
      <c r="K11" s="45">
        <v>93.8</v>
      </c>
      <c r="L11" s="65">
        <v>0</v>
      </c>
      <c r="M11" s="76"/>
      <c r="N11" s="45"/>
      <c r="O11" s="45"/>
      <c r="P11" s="45"/>
      <c r="Q11" s="45"/>
      <c r="R11" s="45"/>
      <c r="S11" s="45"/>
      <c r="T11" s="45"/>
      <c r="U11" s="45">
        <v>35.1</v>
      </c>
      <c r="V11" s="45">
        <v>13.5</v>
      </c>
      <c r="W11" s="45">
        <v>5.2</v>
      </c>
      <c r="X11" s="45">
        <v>10</v>
      </c>
      <c r="Y11" s="45">
        <v>2153.6999999999998</v>
      </c>
      <c r="Z11" s="45">
        <v>2273.8000000000002</v>
      </c>
      <c r="AA11" s="45">
        <v>189.5</v>
      </c>
      <c r="AB11" s="45">
        <v>-120.1</v>
      </c>
      <c r="AC11" s="45"/>
      <c r="AD11" s="45"/>
      <c r="AE11" s="45"/>
      <c r="AF11" s="44">
        <f>+ROUND(AB11*(-0.3658),1)</f>
        <v>43.9</v>
      </c>
      <c r="AG11" s="44">
        <f>+AB11+AF11</f>
        <v>-76.199999999999989</v>
      </c>
      <c r="AH11" s="44">
        <f>+AG11/AA11</f>
        <v>-0.40211081794195247</v>
      </c>
      <c r="AI11" s="44">
        <f>2217.5+AF11</f>
        <v>2261.4</v>
      </c>
      <c r="AJ11" s="44">
        <f>+Y11+AC11+AD11+AE11+AF11</f>
        <v>2197.6</v>
      </c>
      <c r="AK11" s="66">
        <f>+AJ11/1.3098</f>
        <v>1677.8134066269658</v>
      </c>
      <c r="AL11" s="77"/>
    </row>
    <row r="12" spans="1:38">
      <c r="A12" s="45">
        <v>2</v>
      </c>
      <c r="B12" s="45" t="s">
        <v>187</v>
      </c>
      <c r="C12" s="45">
        <f>+[2]Sheet1!C7+[2]Sheet1!C8+[2]Sheet1!C9+[2]Sheet1!C10</f>
        <v>442</v>
      </c>
      <c r="D12" s="45" t="e">
        <f>+[2]Sheet1!D7+[2]Sheet1!D8+[2]Sheet1!D9+[2]Sheet1!D10</f>
        <v>#REF!</v>
      </c>
      <c r="E12" s="45" t="e">
        <f>+[2]Sheet1!E7+[2]Sheet1!E8+[2]Sheet1!E9+[2]Sheet1!E10</f>
        <v>#REF!</v>
      </c>
      <c r="F12" s="45">
        <f>+[2]Sheet1!H7+[2]Sheet1!H8+[2]Sheet1!H9+[2]Sheet1!H10</f>
        <v>608.61090000000002</v>
      </c>
      <c r="G12" s="45" t="e">
        <f>+[2]Sheet1!K7+[2]Sheet1!K8+[2]Sheet1!K9+[2]Sheet1!K10</f>
        <v>#REF!</v>
      </c>
      <c r="H12" s="45" t="e">
        <f>+[2]Sheet1!L7+[2]Sheet1!L8+[2]Sheet1!L9+[2]Sheet1!L10</f>
        <v>#REF!</v>
      </c>
      <c r="I12" s="44">
        <v>1964.2</v>
      </c>
      <c r="J12" s="45">
        <v>117.9</v>
      </c>
      <c r="K12" s="45">
        <v>77.400000000000006</v>
      </c>
      <c r="L12" s="65">
        <v>0</v>
      </c>
      <c r="M12" s="76"/>
      <c r="N12" s="45"/>
      <c r="O12" s="45"/>
      <c r="P12" s="45"/>
      <c r="Q12" s="45"/>
      <c r="R12" s="45"/>
      <c r="S12" s="45"/>
      <c r="T12" s="45"/>
      <c r="U12" s="45">
        <v>30.8</v>
      </c>
      <c r="V12" s="45">
        <v>11.3</v>
      </c>
      <c r="W12" s="45">
        <v>4.5999999999999996</v>
      </c>
      <c r="X12" s="45">
        <v>8.8000000000000007</v>
      </c>
      <c r="Y12" s="45">
        <v>1790.8</v>
      </c>
      <c r="Z12" s="45">
        <v>1992.5</v>
      </c>
      <c r="AA12" s="45">
        <v>166</v>
      </c>
      <c r="AB12" s="45">
        <v>-201.7</v>
      </c>
      <c r="AC12" s="45">
        <v>2.2999999999999998</v>
      </c>
      <c r="AD12" s="45">
        <v>3.1</v>
      </c>
      <c r="AE12" s="45"/>
      <c r="AF12" s="44">
        <f>+ROUND(AB12*(-0.3658),1)</f>
        <v>73.8</v>
      </c>
      <c r="AG12" s="44">
        <f t="shared" ref="AG12:AG43" si="0">+AB12+AF12</f>
        <v>-127.89999999999999</v>
      </c>
      <c r="AH12" s="44">
        <f t="shared" ref="AH12:AH43" si="1">+AG12/AA12</f>
        <v>-0.77048192771084334</v>
      </c>
      <c r="AI12" s="44">
        <f>1846.3+AC12+AD12+AF12</f>
        <v>1925.4999999999998</v>
      </c>
      <c r="AJ12" s="44">
        <f t="shared" ref="AJ12:AJ43" si="2">+Y12+AC12+AD12+AE12+AF12</f>
        <v>1869.9999999999998</v>
      </c>
      <c r="AK12" s="66">
        <f t="shared" ref="AK12:AK50" si="3">+AJ12/1.3098</f>
        <v>1427.6988853260036</v>
      </c>
      <c r="AL12" s="77"/>
    </row>
    <row r="13" spans="1:38">
      <c r="A13" s="45">
        <v>3</v>
      </c>
      <c r="B13" s="45" t="s">
        <v>188</v>
      </c>
      <c r="C13" s="45">
        <f>+[2]Sheet1!C11</f>
        <v>758</v>
      </c>
      <c r="D13" s="45" t="e">
        <f>+[2]Sheet1!D11</f>
        <v>#REF!</v>
      </c>
      <c r="E13" s="45" t="e">
        <f>+[2]Sheet1!E11</f>
        <v>#REF!</v>
      </c>
      <c r="F13" s="45">
        <f>+[2]Sheet1!H11</f>
        <v>1039.2421999999999</v>
      </c>
      <c r="G13" s="45" t="e">
        <f>+[2]Sheet1!K11</f>
        <v>#REF!</v>
      </c>
      <c r="H13" s="45" t="e">
        <f>+[2]Sheet1!L11</f>
        <v>#REF!</v>
      </c>
      <c r="I13" s="44">
        <v>3327.2</v>
      </c>
      <c r="J13" s="45">
        <v>199.6</v>
      </c>
      <c r="K13" s="45">
        <v>132.5</v>
      </c>
      <c r="L13" s="65">
        <v>0</v>
      </c>
      <c r="M13" s="76"/>
      <c r="N13" s="45"/>
      <c r="O13" s="45"/>
      <c r="P13" s="45"/>
      <c r="Q13" s="45"/>
      <c r="R13" s="45"/>
      <c r="S13" s="45"/>
      <c r="T13" s="45"/>
      <c r="U13" s="45">
        <v>49.2</v>
      </c>
      <c r="V13" s="45">
        <v>19.100000000000001</v>
      </c>
      <c r="W13" s="45">
        <v>7.3</v>
      </c>
      <c r="X13" s="45">
        <v>14.1</v>
      </c>
      <c r="Y13" s="45">
        <v>3037.9</v>
      </c>
      <c r="Z13" s="45">
        <v>3057.8</v>
      </c>
      <c r="AA13" s="45">
        <v>254.8</v>
      </c>
      <c r="AB13" s="45">
        <v>-19.900000000000091</v>
      </c>
      <c r="AC13" s="45"/>
      <c r="AD13" s="45">
        <v>7.3</v>
      </c>
      <c r="AE13" s="45"/>
      <c r="AF13" s="44">
        <f>+ROUND(AB13*(-0.2524),1)</f>
        <v>5</v>
      </c>
      <c r="AG13" s="44">
        <f t="shared" si="0"/>
        <v>-14.900000000000091</v>
      </c>
      <c r="AH13" s="44">
        <f t="shared" si="1"/>
        <v>-5.8477237048665975E-2</v>
      </c>
      <c r="AI13" s="44">
        <f>3127.6+AD13+AF13</f>
        <v>3139.9</v>
      </c>
      <c r="AJ13" s="44">
        <f t="shared" si="2"/>
        <v>3050.2000000000003</v>
      </c>
      <c r="AK13" s="66">
        <f t="shared" si="3"/>
        <v>2328.7524812948541</v>
      </c>
      <c r="AL13" s="77"/>
    </row>
    <row r="14" spans="1:38">
      <c r="A14" s="45">
        <v>4</v>
      </c>
      <c r="B14" s="45" t="s">
        <v>189</v>
      </c>
      <c r="C14" s="45">
        <f>+[2]Sheet1!C12</f>
        <v>946</v>
      </c>
      <c r="D14" s="45" t="e">
        <f>+[2]Sheet1!D12</f>
        <v>#REF!</v>
      </c>
      <c r="E14" s="45" t="e">
        <f>+[2]Sheet1!E12</f>
        <v>#REF!</v>
      </c>
      <c r="F14" s="45">
        <f>+[2]Sheet1!H12</f>
        <v>1074.9231</v>
      </c>
      <c r="G14" s="45" t="e">
        <f>+[2]Sheet1!K12</f>
        <v>#REF!</v>
      </c>
      <c r="H14" s="45" t="e">
        <f>+[2]Sheet1!L12</f>
        <v>#REF!</v>
      </c>
      <c r="I14" s="44">
        <v>3461</v>
      </c>
      <c r="J14" s="45">
        <v>207.7</v>
      </c>
      <c r="K14" s="45">
        <v>125.6</v>
      </c>
      <c r="L14" s="65">
        <v>0</v>
      </c>
      <c r="M14" s="76"/>
      <c r="N14" s="45"/>
      <c r="O14" s="45"/>
      <c r="P14" s="45"/>
      <c r="Q14" s="45"/>
      <c r="R14" s="45"/>
      <c r="S14" s="45"/>
      <c r="T14" s="45"/>
      <c r="U14" s="45">
        <v>63.6</v>
      </c>
      <c r="V14" s="45">
        <v>19.899999999999999</v>
      </c>
      <c r="W14" s="45">
        <v>9.4</v>
      </c>
      <c r="X14" s="45">
        <v>18.2</v>
      </c>
      <c r="Y14" s="45">
        <v>3142.2</v>
      </c>
      <c r="Z14" s="45">
        <v>3153.5</v>
      </c>
      <c r="AA14" s="45">
        <v>262.8</v>
      </c>
      <c r="AB14" s="45">
        <v>-11.299999999999727</v>
      </c>
      <c r="AC14" s="45"/>
      <c r="AD14" s="45">
        <v>27.1</v>
      </c>
      <c r="AE14" s="45"/>
      <c r="AF14" s="44">
        <f>+ROUND(AB14*(-0.2524),1)</f>
        <v>2.9</v>
      </c>
      <c r="AG14" s="44">
        <f t="shared" si="0"/>
        <v>-8.3999999999997268</v>
      </c>
      <c r="AH14" s="44">
        <f t="shared" si="1"/>
        <v>-3.1963470319633661E-2</v>
      </c>
      <c r="AI14" s="44">
        <f>3253.3+AD14+AF14</f>
        <v>3283.3</v>
      </c>
      <c r="AJ14" s="44">
        <f t="shared" si="2"/>
        <v>3172.2</v>
      </c>
      <c r="AK14" s="66">
        <f t="shared" si="3"/>
        <v>2421.8964727439302</v>
      </c>
      <c r="AL14" s="77"/>
    </row>
    <row r="15" spans="1:38" ht="24" customHeight="1">
      <c r="A15" s="45">
        <v>5</v>
      </c>
      <c r="B15" s="37" t="s">
        <v>190</v>
      </c>
      <c r="C15" s="45">
        <f>+[2]Sheet1!C13+[2]Sheet1!C14</f>
        <v>743</v>
      </c>
      <c r="D15" s="45" t="e">
        <f>+[2]Sheet1!D13+[2]Sheet1!D14</f>
        <v>#REF!</v>
      </c>
      <c r="E15" s="45" t="e">
        <f>+[2]Sheet1!E13+[2]Sheet1!E14</f>
        <v>#REF!</v>
      </c>
      <c r="F15" s="45">
        <f>+[2]Sheet1!H13+[2]Sheet1!H14</f>
        <v>874.38160000000005</v>
      </c>
      <c r="G15" s="45" t="e">
        <f>+[2]Sheet1!K13+[2]Sheet1!K14</f>
        <v>#REF!</v>
      </c>
      <c r="H15" s="45" t="e">
        <f>+[2]Sheet1!L13+[2]Sheet1!L14</f>
        <v>#REF!</v>
      </c>
      <c r="I15" s="44">
        <v>2626.9</v>
      </c>
      <c r="J15" s="45">
        <v>157.6</v>
      </c>
      <c r="K15" s="45">
        <v>96.5</v>
      </c>
      <c r="L15" s="65">
        <v>0</v>
      </c>
      <c r="M15" s="76"/>
      <c r="N15" s="45"/>
      <c r="O15" s="45"/>
      <c r="P15" s="45"/>
      <c r="Q15" s="45"/>
      <c r="R15" s="45"/>
      <c r="S15" s="45"/>
      <c r="T15" s="45"/>
      <c r="U15" s="45">
        <v>47.6</v>
      </c>
      <c r="V15" s="45">
        <v>15.1</v>
      </c>
      <c r="W15" s="45">
        <v>7.1</v>
      </c>
      <c r="X15" s="45">
        <v>13.6</v>
      </c>
      <c r="Y15" s="45">
        <v>2385.9</v>
      </c>
      <c r="Z15" s="45">
        <v>2662.9</v>
      </c>
      <c r="AA15" s="45">
        <v>221.9</v>
      </c>
      <c r="AB15" s="45">
        <v>-277</v>
      </c>
      <c r="AC15" s="45"/>
      <c r="AD15" s="45">
        <v>7.9</v>
      </c>
      <c r="AE15" s="45"/>
      <c r="AF15" s="44">
        <f t="shared" ref="AF15:AF20" si="4">+ROUND(AB15*(-0.3658),1)</f>
        <v>101.3</v>
      </c>
      <c r="AG15" s="44">
        <f t="shared" si="0"/>
        <v>-175.7</v>
      </c>
      <c r="AH15" s="44">
        <f t="shared" si="1"/>
        <v>-0.79179810725552047</v>
      </c>
      <c r="AI15" s="44">
        <f>2469.3+AD15+AF15</f>
        <v>2578.5000000000005</v>
      </c>
      <c r="AJ15" s="44">
        <f t="shared" si="2"/>
        <v>2495.1000000000004</v>
      </c>
      <c r="AK15" s="66">
        <f t="shared" si="3"/>
        <v>1904.9473202015577</v>
      </c>
      <c r="AL15" s="77"/>
    </row>
    <row r="16" spans="1:38" ht="22.5">
      <c r="A16" s="45">
        <v>6</v>
      </c>
      <c r="B16" s="37" t="s">
        <v>191</v>
      </c>
      <c r="C16" s="45">
        <f>+[2]Sheet1!C15+[2]Sheet1!C16</f>
        <v>413</v>
      </c>
      <c r="D16" s="45">
        <f>+[2]Sheet1!D15+[2]Sheet1!D16</f>
        <v>18</v>
      </c>
      <c r="E16" s="45" t="e">
        <f>+[2]Sheet1!E15+[2]Sheet1!E16</f>
        <v>#REF!</v>
      </c>
      <c r="F16" s="45">
        <f>+[2]Sheet1!H15+[2]Sheet1!H16</f>
        <v>580.82569999999998</v>
      </c>
      <c r="G16" s="45">
        <f>+[2]Sheet1!K15+[2]Sheet1!K16</f>
        <v>19.1706</v>
      </c>
      <c r="H16" s="45" t="e">
        <f>+[2]Sheet1!L15+[2]Sheet1!L16</f>
        <v>#REF!</v>
      </c>
      <c r="I16" s="44">
        <v>1957.6</v>
      </c>
      <c r="J16" s="45">
        <v>117.5</v>
      </c>
      <c r="K16" s="45">
        <v>77.900000000000006</v>
      </c>
      <c r="L16" s="65">
        <v>0</v>
      </c>
      <c r="M16" s="76"/>
      <c r="N16" s="45"/>
      <c r="O16" s="45"/>
      <c r="P16" s="45"/>
      <c r="Q16" s="45"/>
      <c r="R16" s="45"/>
      <c r="S16" s="45"/>
      <c r="T16" s="45"/>
      <c r="U16" s="45">
        <v>30.2</v>
      </c>
      <c r="V16" s="45">
        <v>11.2</v>
      </c>
      <c r="W16" s="45">
        <v>4.5</v>
      </c>
      <c r="X16" s="45">
        <v>8.6</v>
      </c>
      <c r="Y16" s="45">
        <v>1785.6</v>
      </c>
      <c r="Z16" s="45">
        <v>2022.7</v>
      </c>
      <c r="AA16" s="45">
        <v>168.6</v>
      </c>
      <c r="AB16" s="45">
        <v>-237.1</v>
      </c>
      <c r="AC16" s="45">
        <v>2.2999999999999998</v>
      </c>
      <c r="AD16" s="45"/>
      <c r="AE16" s="45"/>
      <c r="AF16" s="44">
        <f t="shared" si="4"/>
        <v>86.7</v>
      </c>
      <c r="AG16" s="44">
        <f t="shared" si="0"/>
        <v>-150.39999999999998</v>
      </c>
      <c r="AH16" s="44">
        <f t="shared" si="1"/>
        <v>-0.89205219454329765</v>
      </c>
      <c r="AI16" s="44">
        <f>1840.1+AC16+AF16</f>
        <v>1929.1</v>
      </c>
      <c r="AJ16" s="44">
        <f t="shared" si="2"/>
        <v>1874.6</v>
      </c>
      <c r="AK16" s="66">
        <f t="shared" si="3"/>
        <v>1431.2108718888378</v>
      </c>
      <c r="AL16" s="77"/>
    </row>
    <row r="17" spans="1:38" ht="22.5">
      <c r="A17" s="45">
        <v>7</v>
      </c>
      <c r="B17" s="37" t="s">
        <v>192</v>
      </c>
      <c r="C17" s="45">
        <f>+[2]Sheet1!C17+[2]Sheet1!C18+[2]Sheet1!C19</f>
        <v>360</v>
      </c>
      <c r="D17" s="45" t="e">
        <f>+[2]Sheet1!D17+[2]Sheet1!D18+[2]Sheet1!D19</f>
        <v>#REF!</v>
      </c>
      <c r="E17" s="45" t="e">
        <f>+[2]Sheet1!E17+[2]Sheet1!E18+[2]Sheet1!E19</f>
        <v>#REF!</v>
      </c>
      <c r="F17" s="45">
        <f>+[2]Sheet1!H17+[2]Sheet1!H18+[2]Sheet1!H19</f>
        <v>493.36559999999997</v>
      </c>
      <c r="G17" s="45" t="e">
        <f>+[2]Sheet1!K17+[2]Sheet1!K18+[2]Sheet1!K19</f>
        <v>#REF!</v>
      </c>
      <c r="H17" s="45" t="e">
        <f>+[2]Sheet1!L17+[2]Sheet1!L18+[2]Sheet1!L19</f>
        <v>#REF!</v>
      </c>
      <c r="I17" s="44">
        <v>1565.3</v>
      </c>
      <c r="J17" s="45">
        <v>93.9</v>
      </c>
      <c r="K17" s="45">
        <v>61.3</v>
      </c>
      <c r="L17" s="65">
        <v>0</v>
      </c>
      <c r="M17" s="76"/>
      <c r="N17" s="45"/>
      <c r="O17" s="45"/>
      <c r="P17" s="45"/>
      <c r="Q17" s="45"/>
      <c r="R17" s="45"/>
      <c r="S17" s="45"/>
      <c r="T17" s="45"/>
      <c r="U17" s="45">
        <v>25</v>
      </c>
      <c r="V17" s="45">
        <v>9</v>
      </c>
      <c r="W17" s="45">
        <v>3.7</v>
      </c>
      <c r="X17" s="45">
        <v>7.1</v>
      </c>
      <c r="Y17" s="45">
        <v>1426.6</v>
      </c>
      <c r="Z17" s="45">
        <v>1568.5</v>
      </c>
      <c r="AA17" s="45">
        <v>130.69999999999999</v>
      </c>
      <c r="AB17" s="45">
        <v>-141.9</v>
      </c>
      <c r="AC17" s="45">
        <v>2.2999999999999998</v>
      </c>
      <c r="AD17" s="45"/>
      <c r="AE17" s="45">
        <v>33.4</v>
      </c>
      <c r="AF17" s="44">
        <f t="shared" si="4"/>
        <v>51.9</v>
      </c>
      <c r="AG17" s="44">
        <f t="shared" si="0"/>
        <v>-90</v>
      </c>
      <c r="AH17" s="44">
        <f t="shared" si="1"/>
        <v>-0.68859984697781185</v>
      </c>
      <c r="AI17" s="44">
        <f>1471.4+AC17+AE17+AF17</f>
        <v>1559.0000000000002</v>
      </c>
      <c r="AJ17" s="44">
        <f t="shared" si="2"/>
        <v>1514.2</v>
      </c>
      <c r="AK17" s="66">
        <f t="shared" si="3"/>
        <v>1156.0543594441899</v>
      </c>
      <c r="AL17" s="77"/>
    </row>
    <row r="18" spans="1:38">
      <c r="A18" s="45">
        <v>8</v>
      </c>
      <c r="B18" s="37" t="s">
        <v>193</v>
      </c>
      <c r="C18" s="45">
        <f>+[2]Sheet1!C20+[2]Sheet1!C21</f>
        <v>456</v>
      </c>
      <c r="D18" s="45" t="e">
        <f>+[2]Sheet1!D20+[2]Sheet1!D21</f>
        <v>#REF!</v>
      </c>
      <c r="E18" s="45" t="e">
        <f>+[2]Sheet1!E20+[2]Sheet1!E21</f>
        <v>#REF!</v>
      </c>
      <c r="F18" s="45">
        <f>+[2]Sheet1!H20+[2]Sheet1!H21</f>
        <v>628.67719999999997</v>
      </c>
      <c r="G18" s="45" t="e">
        <f>+[2]Sheet1!K20+[2]Sheet1!K21</f>
        <v>#REF!</v>
      </c>
      <c r="H18" s="45" t="e">
        <f>+[2]Sheet1!L20+[2]Sheet1!L21</f>
        <v>#REF!</v>
      </c>
      <c r="I18" s="44">
        <v>1928.2</v>
      </c>
      <c r="J18" s="45">
        <v>115.7</v>
      </c>
      <c r="K18" s="45">
        <v>75.099999999999994</v>
      </c>
      <c r="L18" s="65">
        <v>0</v>
      </c>
      <c r="M18" s="76"/>
      <c r="N18" s="45"/>
      <c r="O18" s="45"/>
      <c r="P18" s="45"/>
      <c r="Q18" s="45"/>
      <c r="R18" s="45"/>
      <c r="S18" s="45"/>
      <c r="T18" s="45"/>
      <c r="U18" s="45">
        <v>31</v>
      </c>
      <c r="V18" s="45">
        <v>11.1</v>
      </c>
      <c r="W18" s="45">
        <v>4.5999999999999996</v>
      </c>
      <c r="X18" s="45">
        <v>8.9</v>
      </c>
      <c r="Y18" s="45">
        <v>1756.9</v>
      </c>
      <c r="Z18" s="45">
        <v>1988.1</v>
      </c>
      <c r="AA18" s="45">
        <v>165.7</v>
      </c>
      <c r="AB18" s="45">
        <v>-231.2</v>
      </c>
      <c r="AC18" s="45">
        <v>0.5</v>
      </c>
      <c r="AD18" s="45"/>
      <c r="AE18" s="45"/>
      <c r="AF18" s="44">
        <f t="shared" si="4"/>
        <v>84.6</v>
      </c>
      <c r="AG18" s="44">
        <f t="shared" si="0"/>
        <v>-146.6</v>
      </c>
      <c r="AH18" s="44">
        <f t="shared" si="1"/>
        <v>-0.88473144236572121</v>
      </c>
      <c r="AI18" s="44">
        <f>1812.5+AC18+AF18</f>
        <v>1897.6</v>
      </c>
      <c r="AJ18" s="44">
        <f t="shared" si="2"/>
        <v>1842</v>
      </c>
      <c r="AK18" s="66">
        <f t="shared" si="3"/>
        <v>1406.3215758131012</v>
      </c>
      <c r="AL18" s="77"/>
    </row>
    <row r="19" spans="1:38" ht="22.5">
      <c r="A19" s="45">
        <v>9</v>
      </c>
      <c r="B19" s="37" t="s">
        <v>194</v>
      </c>
      <c r="C19" s="45">
        <f>+[2]Sheet1!C22+[2]Sheet1!C23</f>
        <v>252</v>
      </c>
      <c r="D19" s="45" t="e">
        <f>+[2]Sheet1!D22+[2]Sheet1!D23</f>
        <v>#REF!</v>
      </c>
      <c r="E19" s="45" t="e">
        <f>+[2]Sheet1!E22+[2]Sheet1!E23</f>
        <v>#REF!</v>
      </c>
      <c r="F19" s="45">
        <f>+[2]Sheet1!H22+[2]Sheet1!H23</f>
        <v>318.08439999999996</v>
      </c>
      <c r="G19" s="45" t="e">
        <f>+[2]Sheet1!K22+[2]Sheet1!K23</f>
        <v>#REF!</v>
      </c>
      <c r="H19" s="45" t="e">
        <f>+[2]Sheet1!L22+[2]Sheet1!L23</f>
        <v>#REF!</v>
      </c>
      <c r="I19" s="44">
        <v>992.2</v>
      </c>
      <c r="J19" s="45">
        <v>59.5</v>
      </c>
      <c r="K19" s="45">
        <v>37.799999999999997</v>
      </c>
      <c r="L19" s="65">
        <v>0</v>
      </c>
      <c r="M19" s="76"/>
      <c r="N19" s="45"/>
      <c r="O19" s="45"/>
      <c r="P19" s="45"/>
      <c r="Q19" s="45"/>
      <c r="R19" s="45"/>
      <c r="S19" s="45"/>
      <c r="T19" s="45"/>
      <c r="U19" s="45">
        <v>17</v>
      </c>
      <c r="V19" s="45">
        <v>5.7</v>
      </c>
      <c r="W19" s="45">
        <v>2.5</v>
      </c>
      <c r="X19" s="45">
        <v>4.9000000000000004</v>
      </c>
      <c r="Y19" s="45">
        <v>902.6</v>
      </c>
      <c r="Z19" s="45">
        <v>1071.4000000000001</v>
      </c>
      <c r="AA19" s="45">
        <v>89.3</v>
      </c>
      <c r="AB19" s="45">
        <v>-168.8</v>
      </c>
      <c r="AC19" s="45"/>
      <c r="AD19" s="45">
        <v>15.2</v>
      </c>
      <c r="AE19" s="45"/>
      <c r="AF19" s="44">
        <f t="shared" si="4"/>
        <v>61.7</v>
      </c>
      <c r="AG19" s="44">
        <f t="shared" si="0"/>
        <v>-107.10000000000001</v>
      </c>
      <c r="AH19" s="44">
        <f t="shared" si="1"/>
        <v>-1.1993281075027997</v>
      </c>
      <c r="AI19" s="44">
        <f>932.7+AD19+AF19</f>
        <v>1009.6000000000001</v>
      </c>
      <c r="AJ19" s="44">
        <f t="shared" si="2"/>
        <v>979.50000000000011</v>
      </c>
      <c r="AK19" s="66">
        <f t="shared" si="3"/>
        <v>747.82409528172241</v>
      </c>
      <c r="AL19" s="77"/>
    </row>
    <row r="20" spans="1:38" ht="22.5">
      <c r="A20" s="45">
        <v>10</v>
      </c>
      <c r="B20" s="37" t="s">
        <v>195</v>
      </c>
      <c r="C20" s="45">
        <f>+[2]Sheet1!C24</f>
        <v>631</v>
      </c>
      <c r="D20" s="45" t="e">
        <f>+[2]Sheet1!D24</f>
        <v>#REF!</v>
      </c>
      <c r="E20" s="45" t="e">
        <f>+[2]Sheet1!E24</f>
        <v>#REF!</v>
      </c>
      <c r="F20" s="45">
        <f>+[2]Sheet1!H24</f>
        <v>736.53599999999994</v>
      </c>
      <c r="G20" s="45" t="e">
        <f>+[2]Sheet1!K24</f>
        <v>#REF!</v>
      </c>
      <c r="H20" s="45" t="e">
        <f>+[2]Sheet1!L24</f>
        <v>#REF!</v>
      </c>
      <c r="I20" s="44">
        <v>2943.5</v>
      </c>
      <c r="J20" s="45">
        <v>176.6</v>
      </c>
      <c r="K20" s="45">
        <v>113.4</v>
      </c>
      <c r="L20" s="65">
        <v>0</v>
      </c>
      <c r="M20" s="76"/>
      <c r="N20" s="45"/>
      <c r="O20" s="45"/>
      <c r="P20" s="45"/>
      <c r="Q20" s="45"/>
      <c r="R20" s="45"/>
      <c r="S20" s="45"/>
      <c r="T20" s="45"/>
      <c r="U20" s="45">
        <v>50.1</v>
      </c>
      <c r="V20" s="45">
        <v>16.899999999999999</v>
      </c>
      <c r="W20" s="45">
        <v>7.4</v>
      </c>
      <c r="X20" s="45">
        <v>14.3</v>
      </c>
      <c r="Y20" s="45">
        <v>2678.2</v>
      </c>
      <c r="Z20" s="45">
        <v>3025.2</v>
      </c>
      <c r="AA20" s="45">
        <v>252.1</v>
      </c>
      <c r="AB20" s="45">
        <v>-347</v>
      </c>
      <c r="AC20" s="45">
        <v>2.2999999999999998</v>
      </c>
      <c r="AD20" s="45">
        <v>108.5</v>
      </c>
      <c r="AE20" s="45"/>
      <c r="AF20" s="44">
        <f t="shared" si="4"/>
        <v>126.9</v>
      </c>
      <c r="AG20" s="44">
        <f t="shared" si="0"/>
        <v>-220.1</v>
      </c>
      <c r="AH20" s="44">
        <f t="shared" si="1"/>
        <v>-0.87306624355414519</v>
      </c>
      <c r="AI20" s="44">
        <f>2766.9+AC20+AD20+AF20</f>
        <v>3004.6000000000004</v>
      </c>
      <c r="AJ20" s="44">
        <f t="shared" si="2"/>
        <v>2915.9</v>
      </c>
      <c r="AK20" s="66">
        <f t="shared" si="3"/>
        <v>2226.2177431668956</v>
      </c>
      <c r="AL20" s="77"/>
    </row>
    <row r="21" spans="1:38">
      <c r="A21" s="45">
        <v>11</v>
      </c>
      <c r="B21" s="45" t="s">
        <v>196</v>
      </c>
      <c r="C21" s="45">
        <f>+[2]Sheet1!C25</f>
        <v>126</v>
      </c>
      <c r="D21" s="45">
        <f>+[2]Sheet1!D25</f>
        <v>10</v>
      </c>
      <c r="E21" s="45">
        <f>+[2]Sheet1!E25</f>
        <v>10</v>
      </c>
      <c r="F21" s="45">
        <f>+[2]Sheet1!H25</f>
        <v>201.48820000000001</v>
      </c>
      <c r="G21" s="45">
        <f>+[2]Sheet1!K25</f>
        <v>13.529</v>
      </c>
      <c r="H21" s="45">
        <f>+[2]Sheet1!L25</f>
        <v>7.72</v>
      </c>
      <c r="I21" s="44">
        <v>880.8</v>
      </c>
      <c r="J21" s="45">
        <v>52.8</v>
      </c>
      <c r="K21" s="45">
        <v>39.6</v>
      </c>
      <c r="L21" s="65">
        <v>0</v>
      </c>
      <c r="M21" s="76"/>
      <c r="N21" s="45"/>
      <c r="O21" s="45"/>
      <c r="P21" s="45"/>
      <c r="Q21" s="45"/>
      <c r="R21" s="45"/>
      <c r="S21" s="45"/>
      <c r="T21" s="45"/>
      <c r="U21" s="45">
        <v>9.9</v>
      </c>
      <c r="V21" s="45">
        <v>5.0999999999999996</v>
      </c>
      <c r="W21" s="45">
        <v>1.5</v>
      </c>
      <c r="X21" s="45">
        <v>2.8</v>
      </c>
      <c r="Y21" s="45">
        <v>808.7</v>
      </c>
      <c r="Z21" s="45">
        <v>791.3</v>
      </c>
      <c r="AA21" s="45">
        <v>65.900000000000006</v>
      </c>
      <c r="AB21" s="45">
        <v>17.400000000000091</v>
      </c>
      <c r="AC21" s="45"/>
      <c r="AD21" s="45"/>
      <c r="AE21" s="45"/>
      <c r="AF21" s="44"/>
      <c r="AG21" s="44">
        <f t="shared" si="0"/>
        <v>17.400000000000091</v>
      </c>
      <c r="AH21" s="44">
        <f t="shared" si="1"/>
        <v>0.26403641881638984</v>
      </c>
      <c r="AI21" s="45">
        <v>828</v>
      </c>
      <c r="AJ21" s="44">
        <f t="shared" si="2"/>
        <v>808.7</v>
      </c>
      <c r="AK21" s="66">
        <f t="shared" si="3"/>
        <v>617.42250725301574</v>
      </c>
      <c r="AL21" s="77"/>
    </row>
    <row r="22" spans="1:38">
      <c r="A22" s="45">
        <v>12</v>
      </c>
      <c r="B22" s="45" t="s">
        <v>197</v>
      </c>
      <c r="C22" s="45">
        <f>+[2]Sheet1!C26+[2]Sheet1!C27</f>
        <v>96</v>
      </c>
      <c r="D22" s="45">
        <f>+[2]Sheet1!D26+[2]Sheet1!D27</f>
        <v>7</v>
      </c>
      <c r="E22" s="45">
        <f>+[2]Sheet1!E26+[2]Sheet1!E27</f>
        <v>23</v>
      </c>
      <c r="F22" s="45">
        <f>+[2]Sheet1!H26+[2]Sheet1!H27</f>
        <v>214.68899999999999</v>
      </c>
      <c r="G22" s="45">
        <f>+[2]Sheet1!K26+[2]Sheet1!K27</f>
        <v>9.4702999999999999</v>
      </c>
      <c r="H22" s="45">
        <f>+[2]Sheet1!L26+[2]Sheet1!L27</f>
        <v>17.756</v>
      </c>
      <c r="I22" s="44">
        <v>606.29999999999995</v>
      </c>
      <c r="J22" s="45">
        <v>36.4</v>
      </c>
      <c r="K22" s="45">
        <v>28.1</v>
      </c>
      <c r="L22" s="65">
        <v>0</v>
      </c>
      <c r="M22" s="76"/>
      <c r="N22" s="45"/>
      <c r="O22" s="45"/>
      <c r="P22" s="45"/>
      <c r="Q22" s="45"/>
      <c r="R22" s="45"/>
      <c r="S22" s="45"/>
      <c r="T22" s="45"/>
      <c r="U22" s="45">
        <v>6.3</v>
      </c>
      <c r="V22" s="45">
        <v>3.5</v>
      </c>
      <c r="W22" s="45">
        <v>0.9</v>
      </c>
      <c r="X22" s="45">
        <v>1.8</v>
      </c>
      <c r="Y22" s="45">
        <v>557.4</v>
      </c>
      <c r="Z22" s="45">
        <v>669.4</v>
      </c>
      <c r="AA22" s="45">
        <v>55.8</v>
      </c>
      <c r="AB22" s="45">
        <v>-112</v>
      </c>
      <c r="AC22" s="45">
        <v>2.2999999999999998</v>
      </c>
      <c r="AD22" s="45">
        <v>27.7</v>
      </c>
      <c r="AE22" s="45">
        <v>23.1</v>
      </c>
      <c r="AF22" s="44">
        <f t="shared" ref="AF22:AF27" si="5">+ROUND(AB22*(-0.3658),1)</f>
        <v>41</v>
      </c>
      <c r="AG22" s="44">
        <f t="shared" si="0"/>
        <v>-71</v>
      </c>
      <c r="AH22" s="44">
        <f t="shared" si="1"/>
        <v>-1.2724014336917564</v>
      </c>
      <c r="AI22" s="44">
        <f>569.9+AC22+AD22+AE22+AF22</f>
        <v>664</v>
      </c>
      <c r="AJ22" s="44">
        <f t="shared" si="2"/>
        <v>651.5</v>
      </c>
      <c r="AK22" s="66">
        <f t="shared" si="3"/>
        <v>497.40418384486179</v>
      </c>
      <c r="AL22" s="77"/>
    </row>
    <row r="23" spans="1:38" ht="22.5">
      <c r="A23" s="45">
        <v>13</v>
      </c>
      <c r="B23" s="37" t="s">
        <v>198</v>
      </c>
      <c r="C23" s="45">
        <f>+[2]Sheet1!C28+[2]Sheet1!C29</f>
        <v>118</v>
      </c>
      <c r="D23" s="45" t="e">
        <f>+[2]Sheet1!D28+[2]Sheet1!D29</f>
        <v>#REF!</v>
      </c>
      <c r="E23" s="45" t="e">
        <f>+[2]Sheet1!E28+[2]Sheet1!E29</f>
        <v>#REF!</v>
      </c>
      <c r="F23" s="45">
        <f>+[2]Sheet1!H28+[2]Sheet1!H29</f>
        <v>224.93350000000001</v>
      </c>
      <c r="G23" s="45" t="e">
        <f>+[2]Sheet1!K28+[2]Sheet1!K29</f>
        <v>#REF!</v>
      </c>
      <c r="H23" s="45" t="e">
        <f>+[2]Sheet1!L28+[2]Sheet1!L29</f>
        <v>#REF!</v>
      </c>
      <c r="I23" s="44">
        <v>949.4</v>
      </c>
      <c r="J23" s="45">
        <v>57</v>
      </c>
      <c r="K23" s="45">
        <v>43.7</v>
      </c>
      <c r="L23" s="65">
        <v>0</v>
      </c>
      <c r="M23" s="76"/>
      <c r="N23" s="45"/>
      <c r="O23" s="45"/>
      <c r="P23" s="45"/>
      <c r="Q23" s="45"/>
      <c r="R23" s="45"/>
      <c r="S23" s="45"/>
      <c r="T23" s="45"/>
      <c r="U23" s="45">
        <v>12.9</v>
      </c>
      <c r="V23" s="45">
        <v>5.4</v>
      </c>
      <c r="W23" s="45">
        <v>1.9</v>
      </c>
      <c r="X23" s="45">
        <v>3.7</v>
      </c>
      <c r="Y23" s="45">
        <v>868.5</v>
      </c>
      <c r="Z23" s="45">
        <v>997.1</v>
      </c>
      <c r="AA23" s="45">
        <v>83.1</v>
      </c>
      <c r="AB23" s="45">
        <v>-128.6</v>
      </c>
      <c r="AC23" s="45"/>
      <c r="AD23" s="45">
        <v>5.3</v>
      </c>
      <c r="AE23" s="45"/>
      <c r="AF23" s="44">
        <f t="shared" si="5"/>
        <v>47</v>
      </c>
      <c r="AG23" s="44">
        <f t="shared" si="0"/>
        <v>-81.599999999999994</v>
      </c>
      <c r="AH23" s="44">
        <f t="shared" si="1"/>
        <v>-0.98194945848375448</v>
      </c>
      <c r="AI23" s="44">
        <f>892.4+AD23+AF23</f>
        <v>944.69999999999993</v>
      </c>
      <c r="AJ23" s="44">
        <f t="shared" si="2"/>
        <v>920.8</v>
      </c>
      <c r="AK23" s="66">
        <f t="shared" si="3"/>
        <v>703.00809283860121</v>
      </c>
      <c r="AL23" s="77"/>
    </row>
    <row r="24" spans="1:38">
      <c r="A24" s="45">
        <v>15</v>
      </c>
      <c r="B24" s="45" t="s">
        <v>199</v>
      </c>
      <c r="C24" s="45">
        <f>+[2]Sheet1!C31</f>
        <v>86</v>
      </c>
      <c r="D24" s="45">
        <f>+[2]Sheet1!D31</f>
        <v>7</v>
      </c>
      <c r="E24" s="45">
        <f>+[2]Sheet1!E31</f>
        <v>3</v>
      </c>
      <c r="F24" s="45">
        <f>+[2]Sheet1!H31</f>
        <v>180.86070000000001</v>
      </c>
      <c r="G24" s="45">
        <f>+[2]Sheet1!K31</f>
        <v>9.4702999999999999</v>
      </c>
      <c r="H24" s="45">
        <f>+[2]Sheet1!L31</f>
        <v>2.3159999999999998</v>
      </c>
      <c r="I24" s="44">
        <v>665.1</v>
      </c>
      <c r="J24" s="45">
        <v>39.9</v>
      </c>
      <c r="K24" s="45">
        <v>30</v>
      </c>
      <c r="L24" s="65">
        <v>0</v>
      </c>
      <c r="M24" s="76"/>
      <c r="N24" s="45"/>
      <c r="O24" s="45"/>
      <c r="P24" s="45"/>
      <c r="Q24" s="45"/>
      <c r="R24" s="45"/>
      <c r="S24" s="45"/>
      <c r="T24" s="45"/>
      <c r="U24" s="45">
        <v>7.2</v>
      </c>
      <c r="V24" s="45">
        <v>3.8</v>
      </c>
      <c r="W24" s="45">
        <v>1.1000000000000001</v>
      </c>
      <c r="X24" s="45">
        <v>2.1</v>
      </c>
      <c r="Y24" s="45">
        <v>611</v>
      </c>
      <c r="Z24" s="45">
        <v>736.6</v>
      </c>
      <c r="AA24" s="45">
        <v>61.4</v>
      </c>
      <c r="AB24" s="45">
        <v>-125.6</v>
      </c>
      <c r="AC24" s="45"/>
      <c r="AD24" s="45"/>
      <c r="AE24" s="45"/>
      <c r="AF24" s="44">
        <f t="shared" si="5"/>
        <v>45.9</v>
      </c>
      <c r="AG24" s="44">
        <f t="shared" si="0"/>
        <v>-79.699999999999989</v>
      </c>
      <c r="AH24" s="44">
        <f t="shared" si="1"/>
        <v>-1.2980456026058631</v>
      </c>
      <c r="AI24" s="44">
        <f>625.2+AF24</f>
        <v>671.1</v>
      </c>
      <c r="AJ24" s="44">
        <f t="shared" si="2"/>
        <v>656.9</v>
      </c>
      <c r="AK24" s="66">
        <f t="shared" si="3"/>
        <v>501.52695067949298</v>
      </c>
      <c r="AL24" s="77"/>
    </row>
    <row r="25" spans="1:38">
      <c r="A25" s="45">
        <v>16</v>
      </c>
      <c r="B25" s="45" t="s">
        <v>200</v>
      </c>
      <c r="C25" s="45">
        <f>+[2]Sheet1!C32</f>
        <v>103</v>
      </c>
      <c r="D25" s="45">
        <f>+[2]Sheet1!D32</f>
        <v>6</v>
      </c>
      <c r="E25" s="45">
        <f>+[2]Sheet1!E32</f>
        <v>4</v>
      </c>
      <c r="F25" s="45">
        <f>+[2]Sheet1!H32</f>
        <v>205.45400000000001</v>
      </c>
      <c r="G25" s="45">
        <f>+[2]Sheet1!K32</f>
        <v>8.1173999999999999</v>
      </c>
      <c r="H25" s="45">
        <f>+[2]Sheet1!L32</f>
        <v>3.0880000000000001</v>
      </c>
      <c r="I25" s="44">
        <v>610.20000000000005</v>
      </c>
      <c r="J25" s="45">
        <v>36.6</v>
      </c>
      <c r="K25" s="45">
        <v>27</v>
      </c>
      <c r="L25" s="65">
        <v>0</v>
      </c>
      <c r="M25" s="76"/>
      <c r="N25" s="45"/>
      <c r="O25" s="45"/>
      <c r="P25" s="45"/>
      <c r="Q25" s="45"/>
      <c r="R25" s="45"/>
      <c r="S25" s="45"/>
      <c r="T25" s="45"/>
      <c r="U25" s="45">
        <v>7</v>
      </c>
      <c r="V25" s="45">
        <v>3.5</v>
      </c>
      <c r="W25" s="45">
        <v>1</v>
      </c>
      <c r="X25" s="45">
        <v>2</v>
      </c>
      <c r="Y25" s="45">
        <v>560.1</v>
      </c>
      <c r="Z25" s="45">
        <v>615.9</v>
      </c>
      <c r="AA25" s="45">
        <v>51.3</v>
      </c>
      <c r="AB25" s="45">
        <v>-55.8</v>
      </c>
      <c r="AC25" s="45"/>
      <c r="AD25" s="45"/>
      <c r="AE25" s="45"/>
      <c r="AF25" s="44">
        <f t="shared" si="5"/>
        <v>20.399999999999999</v>
      </c>
      <c r="AG25" s="44">
        <f t="shared" si="0"/>
        <v>-35.4</v>
      </c>
      <c r="AH25" s="44">
        <f t="shared" si="1"/>
        <v>-0.6900584795321637</v>
      </c>
      <c r="AI25" s="44">
        <f>573.6+AF25</f>
        <v>594</v>
      </c>
      <c r="AJ25" s="44">
        <f t="shared" si="2"/>
        <v>580.5</v>
      </c>
      <c r="AK25" s="66">
        <f t="shared" si="3"/>
        <v>443.19743472285842</v>
      </c>
      <c r="AL25" s="77"/>
    </row>
    <row r="26" spans="1:38">
      <c r="A26" s="45">
        <v>17</v>
      </c>
      <c r="B26" s="45" t="s">
        <v>201</v>
      </c>
      <c r="C26" s="45">
        <f>+[2]Sheet1!C33</f>
        <v>119</v>
      </c>
      <c r="D26" s="45">
        <f>+[2]Sheet1!D33</f>
        <v>8</v>
      </c>
      <c r="E26" s="45" t="e">
        <f>+[2]Sheet1!E33</f>
        <v>#REF!</v>
      </c>
      <c r="F26" s="45">
        <f>+[2]Sheet1!H33</f>
        <v>234.58930000000001</v>
      </c>
      <c r="G26" s="45">
        <f>+[2]Sheet1!K33</f>
        <v>10.8232</v>
      </c>
      <c r="H26" s="45" t="e">
        <f>+[2]Sheet1!L33</f>
        <v>#REF!</v>
      </c>
      <c r="I26" s="44">
        <v>755</v>
      </c>
      <c r="J26" s="45">
        <v>45.3</v>
      </c>
      <c r="K26" s="45">
        <v>33.700000000000003</v>
      </c>
      <c r="L26" s="65">
        <v>0</v>
      </c>
      <c r="M26" s="76"/>
      <c r="N26" s="45"/>
      <c r="O26" s="45"/>
      <c r="P26" s="45"/>
      <c r="Q26" s="45"/>
      <c r="R26" s="45"/>
      <c r="S26" s="45"/>
      <c r="T26" s="45"/>
      <c r="U26" s="45">
        <v>8.3000000000000007</v>
      </c>
      <c r="V26" s="45">
        <v>4.3</v>
      </c>
      <c r="W26" s="45">
        <v>1.2</v>
      </c>
      <c r="X26" s="45">
        <v>2.4</v>
      </c>
      <c r="Y26" s="45">
        <v>693.5</v>
      </c>
      <c r="Z26" s="45">
        <v>834.8</v>
      </c>
      <c r="AA26" s="45">
        <v>69.599999999999994</v>
      </c>
      <c r="AB26" s="45">
        <v>-141.30000000000001</v>
      </c>
      <c r="AC26" s="45">
        <v>2.2999999999999998</v>
      </c>
      <c r="AD26" s="45"/>
      <c r="AE26" s="45"/>
      <c r="AF26" s="44">
        <f t="shared" si="5"/>
        <v>51.7</v>
      </c>
      <c r="AG26" s="44">
        <f t="shared" si="0"/>
        <v>-89.600000000000009</v>
      </c>
      <c r="AH26" s="44">
        <f t="shared" si="1"/>
        <v>-1.2873563218390807</v>
      </c>
      <c r="AI26" s="44">
        <f>709.7+AC26+AF26</f>
        <v>763.7</v>
      </c>
      <c r="AJ26" s="44">
        <f t="shared" si="2"/>
        <v>747.5</v>
      </c>
      <c r="AK26" s="66">
        <f t="shared" si="3"/>
        <v>570.69781646052832</v>
      </c>
      <c r="AL26" s="77"/>
    </row>
    <row r="27" spans="1:38">
      <c r="A27" s="45">
        <v>19</v>
      </c>
      <c r="B27" s="45" t="s">
        <v>202</v>
      </c>
      <c r="C27" s="45">
        <f>+[2]Sheet1!C35</f>
        <v>120</v>
      </c>
      <c r="D27" s="45">
        <f>+[2]Sheet1!D35</f>
        <v>7</v>
      </c>
      <c r="E27" s="45">
        <f>+[2]Sheet1!E35</f>
        <v>2</v>
      </c>
      <c r="F27" s="45">
        <f>+[2]Sheet1!H35</f>
        <v>233.09129999999999</v>
      </c>
      <c r="G27" s="45">
        <f>+[2]Sheet1!K35</f>
        <v>9.4702999999999999</v>
      </c>
      <c r="H27" s="45">
        <f>+[2]Sheet1!L35</f>
        <v>1.544</v>
      </c>
      <c r="I27" s="44">
        <v>786.5</v>
      </c>
      <c r="J27" s="45">
        <v>47.2</v>
      </c>
      <c r="K27" s="45">
        <v>33.1</v>
      </c>
      <c r="L27" s="65">
        <v>0</v>
      </c>
      <c r="M27" s="76"/>
      <c r="N27" s="45"/>
      <c r="O27" s="45"/>
      <c r="P27" s="45"/>
      <c r="Q27" s="45"/>
      <c r="R27" s="45"/>
      <c r="S27" s="45"/>
      <c r="T27" s="45"/>
      <c r="U27" s="45">
        <v>10.5</v>
      </c>
      <c r="V27" s="45">
        <v>4.5</v>
      </c>
      <c r="W27" s="45">
        <v>1.6</v>
      </c>
      <c r="X27" s="45">
        <v>3</v>
      </c>
      <c r="Y27" s="45">
        <v>719.7</v>
      </c>
      <c r="Z27" s="45">
        <v>832.2</v>
      </c>
      <c r="AA27" s="45">
        <v>69.400000000000006</v>
      </c>
      <c r="AB27" s="45">
        <v>-112.5</v>
      </c>
      <c r="AC27" s="45"/>
      <c r="AD27" s="45"/>
      <c r="AE27" s="45"/>
      <c r="AF27" s="44">
        <f t="shared" si="5"/>
        <v>41.2</v>
      </c>
      <c r="AG27" s="44">
        <f t="shared" si="0"/>
        <v>-71.3</v>
      </c>
      <c r="AH27" s="44">
        <f t="shared" si="1"/>
        <v>-1.0273775216138328</v>
      </c>
      <c r="AI27" s="44">
        <f>739.3+AF27</f>
        <v>780.5</v>
      </c>
      <c r="AJ27" s="44">
        <f t="shared" si="2"/>
        <v>760.90000000000009</v>
      </c>
      <c r="AK27" s="66">
        <f t="shared" si="3"/>
        <v>580.92838601313179</v>
      </c>
      <c r="AL27" s="77"/>
    </row>
    <row r="28" spans="1:38">
      <c r="A28" s="45">
        <v>20</v>
      </c>
      <c r="B28" s="45" t="s">
        <v>203</v>
      </c>
      <c r="C28" s="45">
        <f>+[2]Sheet1!C36</f>
        <v>139</v>
      </c>
      <c r="D28" s="45" t="e">
        <f>+[2]Sheet1!D36</f>
        <v>#REF!</v>
      </c>
      <c r="E28" s="45" t="e">
        <f>+[2]Sheet1!E36</f>
        <v>#REF!</v>
      </c>
      <c r="F28" s="45">
        <f>+[2]Sheet1!H36</f>
        <v>354.0145</v>
      </c>
      <c r="G28" s="45" t="e">
        <f>+[2]Sheet1!K36</f>
        <v>#REF!</v>
      </c>
      <c r="H28" s="45" t="e">
        <f>+[2]Sheet1!L36</f>
        <v>#REF!</v>
      </c>
      <c r="I28" s="44">
        <v>1277.9000000000001</v>
      </c>
      <c r="J28" s="45">
        <v>76.7</v>
      </c>
      <c r="K28" s="45">
        <v>59.3</v>
      </c>
      <c r="L28" s="65">
        <v>0</v>
      </c>
      <c r="M28" s="76"/>
      <c r="N28" s="45"/>
      <c r="O28" s="45"/>
      <c r="P28" s="45"/>
      <c r="Q28" s="45"/>
      <c r="R28" s="45"/>
      <c r="S28" s="45"/>
      <c r="T28" s="45"/>
      <c r="U28" s="45">
        <v>10.5</v>
      </c>
      <c r="V28" s="45">
        <v>7.3</v>
      </c>
      <c r="W28" s="45">
        <v>1.6</v>
      </c>
      <c r="X28" s="45">
        <v>3</v>
      </c>
      <c r="Y28" s="45">
        <v>1178.8</v>
      </c>
      <c r="Z28" s="45">
        <v>1065.9000000000001</v>
      </c>
      <c r="AA28" s="45">
        <v>88.8</v>
      </c>
      <c r="AB28" s="45">
        <v>112.9</v>
      </c>
      <c r="AC28" s="45"/>
      <c r="AD28" s="45"/>
      <c r="AE28" s="45"/>
      <c r="AF28" s="44"/>
      <c r="AG28" s="44">
        <f t="shared" si="0"/>
        <v>112.9</v>
      </c>
      <c r="AH28" s="44">
        <f t="shared" si="1"/>
        <v>1.2713963963963966</v>
      </c>
      <c r="AI28" s="45">
        <v>1201.2</v>
      </c>
      <c r="AJ28" s="44">
        <f t="shared" si="2"/>
        <v>1178.8</v>
      </c>
      <c r="AK28" s="66">
        <f t="shared" si="3"/>
        <v>899.98473049320501</v>
      </c>
      <c r="AL28" s="77"/>
    </row>
    <row r="29" spans="1:38">
      <c r="A29" s="45">
        <v>21</v>
      </c>
      <c r="B29" s="45" t="s">
        <v>204</v>
      </c>
      <c r="C29" s="45">
        <f>+[2]Sheet1!C37</f>
        <v>146</v>
      </c>
      <c r="D29" s="45" t="e">
        <f>+[2]Sheet1!D37</f>
        <v>#REF!</v>
      </c>
      <c r="E29" s="45" t="e">
        <f>+[2]Sheet1!E37</f>
        <v>#REF!</v>
      </c>
      <c r="F29" s="45">
        <f>+[2]Sheet1!H37</f>
        <v>459.81369999999998</v>
      </c>
      <c r="G29" s="45" t="e">
        <f>+[2]Sheet1!K37</f>
        <v>#REF!</v>
      </c>
      <c r="H29" s="45" t="e">
        <f>+[2]Sheet1!L37</f>
        <v>#REF!</v>
      </c>
      <c r="I29" s="44">
        <v>1376.6</v>
      </c>
      <c r="J29" s="45">
        <v>82.6</v>
      </c>
      <c r="K29" s="45">
        <v>66.3</v>
      </c>
      <c r="L29" s="65">
        <v>0</v>
      </c>
      <c r="M29" s="76"/>
      <c r="N29" s="45"/>
      <c r="O29" s="45"/>
      <c r="P29" s="45"/>
      <c r="Q29" s="45"/>
      <c r="R29" s="45"/>
      <c r="S29" s="45"/>
      <c r="T29" s="45"/>
      <c r="U29" s="45">
        <v>8.8000000000000007</v>
      </c>
      <c r="V29" s="45">
        <v>7.9</v>
      </c>
      <c r="W29" s="45">
        <v>1.3</v>
      </c>
      <c r="X29" s="45">
        <v>2.5</v>
      </c>
      <c r="Y29" s="45">
        <v>1273.5</v>
      </c>
      <c r="Z29" s="45">
        <v>1385.5</v>
      </c>
      <c r="AA29" s="45">
        <v>115.5</v>
      </c>
      <c r="AB29" s="45">
        <v>-112</v>
      </c>
      <c r="AC29" s="45">
        <v>8.6999999999999993</v>
      </c>
      <c r="AD29" s="45"/>
      <c r="AE29" s="45"/>
      <c r="AF29" s="44">
        <f>+ROUND(AB29*(-0.3658),1)</f>
        <v>41</v>
      </c>
      <c r="AG29" s="44">
        <f t="shared" si="0"/>
        <v>-71</v>
      </c>
      <c r="AH29" s="44">
        <f t="shared" si="1"/>
        <v>-0.61471861471861466</v>
      </c>
      <c r="AI29" s="44">
        <f>1294+AC29+AF29</f>
        <v>1343.7</v>
      </c>
      <c r="AJ29" s="44">
        <f t="shared" si="2"/>
        <v>1323.2</v>
      </c>
      <c r="AK29" s="66">
        <f t="shared" si="3"/>
        <v>1010.2305695526035</v>
      </c>
      <c r="AL29" s="77"/>
    </row>
    <row r="30" spans="1:38">
      <c r="A30" s="45">
        <v>22</v>
      </c>
      <c r="B30" s="45" t="s">
        <v>205</v>
      </c>
      <c r="C30" s="45">
        <f>+[2]Sheet1!C38</f>
        <v>367</v>
      </c>
      <c r="D30" s="45" t="e">
        <f>+[2]Sheet1!D38</f>
        <v>#REF!</v>
      </c>
      <c r="E30" s="45" t="e">
        <f>+[2]Sheet1!E38</f>
        <v>#REF!</v>
      </c>
      <c r="F30" s="45">
        <f>+[2]Sheet1!H38</f>
        <v>286.97399999999999</v>
      </c>
      <c r="G30" s="45" t="e">
        <f>+[2]Sheet1!K38</f>
        <v>#REF!</v>
      </c>
      <c r="H30" s="45" t="e">
        <f>+[2]Sheet1!L38</f>
        <v>#REF!</v>
      </c>
      <c r="I30" s="44">
        <v>359.4</v>
      </c>
      <c r="J30" s="45">
        <v>21.6</v>
      </c>
      <c r="K30" s="45">
        <v>6.5</v>
      </c>
      <c r="L30" s="65">
        <v>0</v>
      </c>
      <c r="M30" s="76"/>
      <c r="N30" s="45"/>
      <c r="O30" s="45"/>
      <c r="P30" s="45"/>
      <c r="Q30" s="45"/>
      <c r="R30" s="45"/>
      <c r="S30" s="45"/>
      <c r="T30" s="45"/>
      <c r="U30" s="45">
        <v>13.2</v>
      </c>
      <c r="V30" s="45">
        <v>2.1</v>
      </c>
      <c r="W30" s="45">
        <v>2</v>
      </c>
      <c r="X30" s="45">
        <v>3.8</v>
      </c>
      <c r="Y30" s="45">
        <v>316.7</v>
      </c>
      <c r="Z30" s="45">
        <v>427.1</v>
      </c>
      <c r="AA30" s="45">
        <v>35.6</v>
      </c>
      <c r="AB30" s="45">
        <v>-110.4</v>
      </c>
      <c r="AC30" s="45"/>
      <c r="AD30" s="45"/>
      <c r="AE30" s="45"/>
      <c r="AF30" s="44">
        <f>+ROUND(AB30*(-0.3658),1)</f>
        <v>40.4</v>
      </c>
      <c r="AG30" s="44">
        <f t="shared" si="0"/>
        <v>-70</v>
      </c>
      <c r="AH30" s="44">
        <f t="shared" si="1"/>
        <v>-1.9662921348314606</v>
      </c>
      <c r="AI30" s="44">
        <f>337.8+AF30</f>
        <v>378.2</v>
      </c>
      <c r="AJ30" s="44">
        <f t="shared" si="2"/>
        <v>357.09999999999997</v>
      </c>
      <c r="AK30" s="66">
        <f t="shared" si="3"/>
        <v>272.63704382348448</v>
      </c>
      <c r="AL30" s="77"/>
    </row>
    <row r="31" spans="1:38">
      <c r="A31" s="45">
        <v>23</v>
      </c>
      <c r="B31" s="45" t="s">
        <v>206</v>
      </c>
      <c r="C31" s="45">
        <f>+[2]Sheet1!C39</f>
        <v>81</v>
      </c>
      <c r="D31" s="45">
        <f>+[2]Sheet1!D39</f>
        <v>23</v>
      </c>
      <c r="E31" s="45">
        <f>+[2]Sheet1!E39</f>
        <v>102</v>
      </c>
      <c r="F31" s="45">
        <f>+[2]Sheet1!H39</f>
        <v>81.371499999999997</v>
      </c>
      <c r="G31" s="45">
        <f>+[2]Sheet1!K39</f>
        <v>16.372</v>
      </c>
      <c r="H31" s="45">
        <f>+[2]Sheet1!L39</f>
        <v>78.744</v>
      </c>
      <c r="I31" s="44">
        <v>607</v>
      </c>
      <c r="J31" s="45">
        <v>36.4</v>
      </c>
      <c r="K31" s="45">
        <v>27.2</v>
      </c>
      <c r="L31" s="65">
        <v>0</v>
      </c>
      <c r="M31" s="76"/>
      <c r="N31" s="45"/>
      <c r="O31" s="45"/>
      <c r="P31" s="45"/>
      <c r="Q31" s="45"/>
      <c r="R31" s="45"/>
      <c r="S31" s="45"/>
      <c r="T31" s="45"/>
      <c r="U31" s="45">
        <v>14.4</v>
      </c>
      <c r="V31" s="45">
        <v>3.5</v>
      </c>
      <c r="W31" s="45">
        <v>2.1</v>
      </c>
      <c r="X31" s="45">
        <v>4.0999999999999996</v>
      </c>
      <c r="Y31" s="45">
        <v>546.5</v>
      </c>
      <c r="Z31" s="45">
        <v>545.4</v>
      </c>
      <c r="AA31" s="45">
        <v>45.5</v>
      </c>
      <c r="AB31" s="45">
        <v>1.1000000000000227</v>
      </c>
      <c r="AC31" s="45"/>
      <c r="AD31" s="45"/>
      <c r="AE31" s="45"/>
      <c r="AF31" s="44"/>
      <c r="AG31" s="44">
        <f t="shared" si="0"/>
        <v>1.1000000000000227</v>
      </c>
      <c r="AH31" s="44">
        <f t="shared" si="1"/>
        <v>2.4175824175824676E-2</v>
      </c>
      <c r="AI31" s="45">
        <v>570.6</v>
      </c>
      <c r="AJ31" s="44">
        <f t="shared" si="2"/>
        <v>546.5</v>
      </c>
      <c r="AK31" s="66">
        <f t="shared" si="3"/>
        <v>417.23927317147655</v>
      </c>
      <c r="AL31" s="77"/>
    </row>
    <row r="32" spans="1:38">
      <c r="A32" s="45">
        <v>24</v>
      </c>
      <c r="B32" s="45" t="s">
        <v>207</v>
      </c>
      <c r="C32" s="45">
        <f>+[2]Sheet1!C40</f>
        <v>98</v>
      </c>
      <c r="D32" s="45">
        <f>+[2]Sheet1!D40</f>
        <v>44</v>
      </c>
      <c r="E32" s="45">
        <f>+[2]Sheet1!E40</f>
        <v>110</v>
      </c>
      <c r="F32" s="45">
        <f>+[2]Sheet1!H40</f>
        <v>97.332499999999996</v>
      </c>
      <c r="G32" s="45">
        <f>+[2]Sheet1!K40</f>
        <v>30.637</v>
      </c>
      <c r="H32" s="45">
        <f>+[2]Sheet1!L40</f>
        <v>86.734099999999998</v>
      </c>
      <c r="I32" s="44">
        <v>712.7</v>
      </c>
      <c r="J32" s="45">
        <v>42.8</v>
      </c>
      <c r="K32" s="45">
        <v>32</v>
      </c>
      <c r="L32" s="65">
        <v>0</v>
      </c>
      <c r="M32" s="76"/>
      <c r="N32" s="45"/>
      <c r="O32" s="45"/>
      <c r="P32" s="45"/>
      <c r="Q32" s="45"/>
      <c r="R32" s="45"/>
      <c r="S32" s="45"/>
      <c r="T32" s="45"/>
      <c r="U32" s="45">
        <v>17.600000000000001</v>
      </c>
      <c r="V32" s="45">
        <v>4.0999999999999996</v>
      </c>
      <c r="W32" s="45">
        <v>2.6</v>
      </c>
      <c r="X32" s="45">
        <v>5</v>
      </c>
      <c r="Y32" s="45">
        <v>640.6</v>
      </c>
      <c r="Z32" s="45">
        <v>610.1</v>
      </c>
      <c r="AA32" s="45">
        <v>50.8</v>
      </c>
      <c r="AB32" s="45">
        <v>30.5</v>
      </c>
      <c r="AC32" s="45"/>
      <c r="AD32" s="45"/>
      <c r="AE32" s="45"/>
      <c r="AF32" s="44"/>
      <c r="AG32" s="44">
        <f t="shared" si="0"/>
        <v>30.5</v>
      </c>
      <c r="AH32" s="44">
        <f t="shared" si="1"/>
        <v>0.60039370078740162</v>
      </c>
      <c r="AI32" s="45">
        <v>669.9</v>
      </c>
      <c r="AJ32" s="44">
        <f t="shared" si="2"/>
        <v>640.6</v>
      </c>
      <c r="AK32" s="66">
        <f t="shared" si="3"/>
        <v>489.08230264162466</v>
      </c>
      <c r="AL32" s="77"/>
    </row>
    <row r="33" spans="1:38">
      <c r="A33" s="45">
        <v>25</v>
      </c>
      <c r="B33" s="45" t="s">
        <v>208</v>
      </c>
      <c r="C33" s="45">
        <f>+[2]Sheet1!C41</f>
        <v>16</v>
      </c>
      <c r="D33" s="45">
        <f>+[2]Sheet1!D41</f>
        <v>20</v>
      </c>
      <c r="E33" s="45">
        <f>+[2]Sheet1!E41</f>
        <v>133</v>
      </c>
      <c r="F33" s="45">
        <f>+[2]Sheet1!H41</f>
        <v>15.667199999999999</v>
      </c>
      <c r="G33" s="45">
        <f>+[2]Sheet1!K41</f>
        <v>13.816000000000001</v>
      </c>
      <c r="H33" s="45">
        <f>+[2]Sheet1!L41</f>
        <v>102.676</v>
      </c>
      <c r="I33" s="44">
        <v>435.4</v>
      </c>
      <c r="J33" s="45">
        <v>26.1</v>
      </c>
      <c r="K33" s="45">
        <v>23.7</v>
      </c>
      <c r="L33" s="65">
        <v>0</v>
      </c>
      <c r="M33" s="76"/>
      <c r="N33" s="45"/>
      <c r="O33" s="45"/>
      <c r="P33" s="45"/>
      <c r="Q33" s="45"/>
      <c r="R33" s="45"/>
      <c r="S33" s="45"/>
      <c r="T33" s="45"/>
      <c r="U33" s="45">
        <v>11.6</v>
      </c>
      <c r="V33" s="45">
        <v>2.5</v>
      </c>
      <c r="W33" s="45">
        <v>1.7</v>
      </c>
      <c r="X33" s="45">
        <v>3.3</v>
      </c>
      <c r="Y33" s="45">
        <v>390.2</v>
      </c>
      <c r="Z33" s="45">
        <v>400.6</v>
      </c>
      <c r="AA33" s="45">
        <v>33.4</v>
      </c>
      <c r="AB33" s="45">
        <v>-10.400000000000091</v>
      </c>
      <c r="AC33" s="45"/>
      <c r="AD33" s="45">
        <v>3.9</v>
      </c>
      <c r="AE33" s="45"/>
      <c r="AF33" s="45"/>
      <c r="AG33" s="44">
        <f t="shared" si="0"/>
        <v>-10.400000000000091</v>
      </c>
      <c r="AH33" s="44">
        <f t="shared" si="1"/>
        <v>-0.31137724550898477</v>
      </c>
      <c r="AI33" s="45">
        <f>409.3+AD33</f>
        <v>413.2</v>
      </c>
      <c r="AJ33" s="44">
        <f t="shared" si="2"/>
        <v>394.09999999999997</v>
      </c>
      <c r="AK33" s="66">
        <f t="shared" si="3"/>
        <v>300.88563139410593</v>
      </c>
      <c r="AL33" s="77"/>
    </row>
    <row r="34" spans="1:38">
      <c r="A34" s="45">
        <v>26</v>
      </c>
      <c r="B34" s="45" t="s">
        <v>209</v>
      </c>
      <c r="C34" s="45">
        <f>+[2]Sheet1!C42</f>
        <v>80</v>
      </c>
      <c r="D34" s="45">
        <f>+[2]Sheet1!D42</f>
        <v>38</v>
      </c>
      <c r="E34" s="45">
        <f>+[2]Sheet1!E42</f>
        <v>78</v>
      </c>
      <c r="F34" s="45">
        <f>+[2]Sheet1!H42</f>
        <v>102.5265</v>
      </c>
      <c r="G34" s="45">
        <f>+[2]Sheet1!K42</f>
        <v>51.410200000000003</v>
      </c>
      <c r="H34" s="45">
        <f>+[2]Sheet1!L42</f>
        <v>60.756399999999999</v>
      </c>
      <c r="I34" s="44">
        <v>686.2</v>
      </c>
      <c r="J34" s="45">
        <v>41.2</v>
      </c>
      <c r="K34" s="45">
        <v>32</v>
      </c>
      <c r="L34" s="65">
        <v>0</v>
      </c>
      <c r="M34" s="76"/>
      <c r="N34" s="45"/>
      <c r="O34" s="45"/>
      <c r="P34" s="45"/>
      <c r="Q34" s="45"/>
      <c r="R34" s="45"/>
      <c r="S34" s="45"/>
      <c r="T34" s="45"/>
      <c r="U34" s="45">
        <v>13.4</v>
      </c>
      <c r="V34" s="45">
        <v>3.9</v>
      </c>
      <c r="W34" s="45">
        <v>2</v>
      </c>
      <c r="X34" s="45">
        <v>3.8</v>
      </c>
      <c r="Y34" s="45">
        <v>621.9</v>
      </c>
      <c r="Z34" s="45">
        <v>585.70000000000005</v>
      </c>
      <c r="AA34" s="45">
        <v>48.8</v>
      </c>
      <c r="AB34" s="45">
        <v>36.200000000000003</v>
      </c>
      <c r="AC34" s="45"/>
      <c r="AD34" s="45"/>
      <c r="AE34" s="45"/>
      <c r="AF34" s="44"/>
      <c r="AG34" s="44">
        <f t="shared" si="0"/>
        <v>36.200000000000003</v>
      </c>
      <c r="AH34" s="44">
        <f t="shared" si="1"/>
        <v>0.74180327868852469</v>
      </c>
      <c r="AI34" s="45">
        <v>645</v>
      </c>
      <c r="AJ34" s="44">
        <f t="shared" si="2"/>
        <v>621.9</v>
      </c>
      <c r="AK34" s="66">
        <f t="shared" si="3"/>
        <v>474.80531378836457</v>
      </c>
      <c r="AL34" s="77"/>
    </row>
    <row r="35" spans="1:38">
      <c r="A35" s="45">
        <v>27</v>
      </c>
      <c r="B35" s="45" t="s">
        <v>210</v>
      </c>
      <c r="C35" s="45">
        <f>+[2]Sheet1!C43</f>
        <v>70</v>
      </c>
      <c r="D35" s="45">
        <f>+[2]Sheet1!D43</f>
        <v>24</v>
      </c>
      <c r="E35" s="45">
        <f>+[2]Sheet1!E43</f>
        <v>51</v>
      </c>
      <c r="F35" s="45">
        <f>+[2]Sheet1!H43</f>
        <v>87.480199999999996</v>
      </c>
      <c r="G35" s="45">
        <f>+[2]Sheet1!K43</f>
        <v>32.4696</v>
      </c>
      <c r="H35" s="45">
        <f>+[2]Sheet1!L43</f>
        <v>39.372</v>
      </c>
      <c r="I35" s="44">
        <v>506.8</v>
      </c>
      <c r="J35" s="45">
        <v>30.4</v>
      </c>
      <c r="K35" s="45">
        <v>23.2</v>
      </c>
      <c r="L35" s="65">
        <v>0</v>
      </c>
      <c r="M35" s="76"/>
      <c r="N35" s="45"/>
      <c r="O35" s="45"/>
      <c r="P35" s="45"/>
      <c r="Q35" s="45"/>
      <c r="R35" s="45"/>
      <c r="S35" s="45"/>
      <c r="T35" s="45"/>
      <c r="U35" s="45">
        <v>9.6999999999999993</v>
      </c>
      <c r="V35" s="45">
        <v>2.9</v>
      </c>
      <c r="W35" s="45">
        <v>1.4</v>
      </c>
      <c r="X35" s="45">
        <v>2.8</v>
      </c>
      <c r="Y35" s="45">
        <v>459.6</v>
      </c>
      <c r="Z35" s="45">
        <v>463</v>
      </c>
      <c r="AA35" s="45">
        <v>38.6</v>
      </c>
      <c r="AB35" s="45">
        <v>-3.3999999999999204</v>
      </c>
      <c r="AC35" s="45"/>
      <c r="AD35" s="45"/>
      <c r="AE35" s="45"/>
      <c r="AF35" s="45"/>
      <c r="AG35" s="44">
        <f t="shared" si="0"/>
        <v>-3.3999999999999204</v>
      </c>
      <c r="AH35" s="44">
        <f t="shared" si="1"/>
        <v>-8.8082901554402085E-2</v>
      </c>
      <c r="AI35" s="45">
        <v>476.4</v>
      </c>
      <c r="AJ35" s="44">
        <f t="shared" si="2"/>
        <v>459.6</v>
      </c>
      <c r="AK35" s="66">
        <f t="shared" si="3"/>
        <v>350.89326614750343</v>
      </c>
      <c r="AL35" s="77"/>
    </row>
    <row r="36" spans="1:38">
      <c r="A36" s="45">
        <v>28</v>
      </c>
      <c r="B36" s="45" t="s">
        <v>211</v>
      </c>
      <c r="C36" s="45">
        <f>+[2]Sheet1!C44</f>
        <v>41</v>
      </c>
      <c r="D36" s="45">
        <f>+[2]Sheet1!D44</f>
        <v>10</v>
      </c>
      <c r="E36" s="45">
        <f>+[2]Sheet1!E44</f>
        <v>65</v>
      </c>
      <c r="F36" s="45">
        <f>+[2]Sheet1!H44</f>
        <v>67.973100000000002</v>
      </c>
      <c r="G36" s="45">
        <f>+[2]Sheet1!K44</f>
        <v>13.529</v>
      </c>
      <c r="H36" s="45">
        <f>+[2]Sheet1!L44</f>
        <v>50.18</v>
      </c>
      <c r="I36" s="44">
        <v>499.1</v>
      </c>
      <c r="J36" s="45">
        <v>29.9</v>
      </c>
      <c r="K36" s="45">
        <v>24.4</v>
      </c>
      <c r="L36" s="65">
        <v>0</v>
      </c>
      <c r="M36" s="76"/>
      <c r="N36" s="45"/>
      <c r="O36" s="45"/>
      <c r="P36" s="45"/>
      <c r="Q36" s="45"/>
      <c r="R36" s="45"/>
      <c r="S36" s="45"/>
      <c r="T36" s="45"/>
      <c r="U36" s="45">
        <v>7.8</v>
      </c>
      <c r="V36" s="45">
        <v>2.9</v>
      </c>
      <c r="W36" s="45">
        <v>1.2</v>
      </c>
      <c r="X36" s="45">
        <v>2.2000000000000002</v>
      </c>
      <c r="Y36" s="45">
        <v>455.1</v>
      </c>
      <c r="Z36" s="45">
        <v>426</v>
      </c>
      <c r="AA36" s="45">
        <v>35.5</v>
      </c>
      <c r="AB36" s="45">
        <v>29.10000000000008</v>
      </c>
      <c r="AC36" s="45"/>
      <c r="AD36" s="45"/>
      <c r="AE36" s="45"/>
      <c r="AF36" s="66"/>
      <c r="AG36" s="44">
        <f t="shared" si="0"/>
        <v>29.10000000000008</v>
      </c>
      <c r="AH36" s="44">
        <f t="shared" si="1"/>
        <v>0.81971830985915717</v>
      </c>
      <c r="AI36" s="45">
        <v>469.2</v>
      </c>
      <c r="AJ36" s="44">
        <f t="shared" si="2"/>
        <v>455.1</v>
      </c>
      <c r="AK36" s="66">
        <f t="shared" si="3"/>
        <v>347.45762711864404</v>
      </c>
      <c r="AL36" s="77"/>
    </row>
    <row r="37" spans="1:38">
      <c r="A37" s="45">
        <v>29</v>
      </c>
      <c r="B37" s="45" t="s">
        <v>212</v>
      </c>
      <c r="C37" s="45" t="e">
        <f>+[2]Sheet1!C45</f>
        <v>#REF!</v>
      </c>
      <c r="D37" s="45">
        <f>+[2]Sheet1!D45</f>
        <v>38</v>
      </c>
      <c r="E37" s="45">
        <f>+[2]Sheet1!E45</f>
        <v>178</v>
      </c>
      <c r="F37" s="45" t="e">
        <f>+[2]Sheet1!H45</f>
        <v>#REF!</v>
      </c>
      <c r="G37" s="45">
        <f>+[2]Sheet1!K45</f>
        <v>26.250399999999999</v>
      </c>
      <c r="H37" s="45">
        <f>+[2]Sheet1!L45</f>
        <v>137.416</v>
      </c>
      <c r="I37" s="44">
        <v>552.9</v>
      </c>
      <c r="J37" s="45">
        <v>33.200000000000003</v>
      </c>
      <c r="K37" s="45">
        <v>20.8</v>
      </c>
      <c r="L37" s="65">
        <v>9.4</v>
      </c>
      <c r="M37" s="76"/>
      <c r="N37" s="45"/>
      <c r="O37" s="45"/>
      <c r="P37" s="45"/>
      <c r="Q37" s="45"/>
      <c r="R37" s="45"/>
      <c r="S37" s="45"/>
      <c r="T37" s="45"/>
      <c r="U37" s="45">
        <v>15.3</v>
      </c>
      <c r="V37" s="45">
        <v>3.2</v>
      </c>
      <c r="W37" s="45">
        <v>2.2999999999999998</v>
      </c>
      <c r="X37" s="45">
        <v>4.4000000000000004</v>
      </c>
      <c r="Y37" s="45">
        <v>494.5</v>
      </c>
      <c r="Z37" s="45">
        <v>471.7</v>
      </c>
      <c r="AA37" s="45">
        <v>39.299999999999997</v>
      </c>
      <c r="AB37" s="45">
        <v>22.8</v>
      </c>
      <c r="AC37" s="45"/>
      <c r="AD37" s="45"/>
      <c r="AE37" s="45"/>
      <c r="AF37" s="66"/>
      <c r="AG37" s="44">
        <f t="shared" si="0"/>
        <v>22.8</v>
      </c>
      <c r="AH37" s="44">
        <f t="shared" si="1"/>
        <v>0.58015267175572527</v>
      </c>
      <c r="AI37" s="45">
        <v>529.1</v>
      </c>
      <c r="AJ37" s="44">
        <f>+Y37+AC37+AD37+AE37+AF37+L37</f>
        <v>503.9</v>
      </c>
      <c r="AK37" s="66">
        <f t="shared" si="3"/>
        <v>384.71522369827449</v>
      </c>
      <c r="AL37" s="77"/>
    </row>
    <row r="38" spans="1:38">
      <c r="A38" s="45">
        <v>30</v>
      </c>
      <c r="B38" s="45" t="s">
        <v>213</v>
      </c>
      <c r="C38" s="45" t="e">
        <f>+[2]Sheet1!C46</f>
        <v>#REF!</v>
      </c>
      <c r="D38" s="45">
        <f>+[2]Sheet1!D46</f>
        <v>49</v>
      </c>
      <c r="E38" s="45">
        <f>+[2]Sheet1!E46</f>
        <v>152</v>
      </c>
      <c r="F38" s="45" t="e">
        <f>+[2]Sheet1!H46</f>
        <v>#REF!</v>
      </c>
      <c r="G38" s="45">
        <f>+[2]Sheet1!K46</f>
        <v>33.849200000000003</v>
      </c>
      <c r="H38" s="45">
        <f>+[2]Sheet1!L46</f>
        <v>117.34399999999999</v>
      </c>
      <c r="I38" s="44">
        <v>533.29999999999995</v>
      </c>
      <c r="J38" s="45">
        <v>32</v>
      </c>
      <c r="K38" s="45">
        <v>29.1</v>
      </c>
      <c r="L38" s="65">
        <v>0</v>
      </c>
      <c r="M38" s="76"/>
      <c r="N38" s="45"/>
      <c r="O38" s="45"/>
      <c r="P38" s="45"/>
      <c r="Q38" s="45"/>
      <c r="R38" s="45"/>
      <c r="S38" s="45"/>
      <c r="T38" s="45"/>
      <c r="U38" s="45">
        <v>14.9</v>
      </c>
      <c r="V38" s="45">
        <v>3.1</v>
      </c>
      <c r="W38" s="45">
        <v>2.2000000000000002</v>
      </c>
      <c r="X38" s="45">
        <v>4.3</v>
      </c>
      <c r="Y38" s="45">
        <v>476.8</v>
      </c>
      <c r="Z38" s="45">
        <v>441.2</v>
      </c>
      <c r="AA38" s="45">
        <v>36.799999999999997</v>
      </c>
      <c r="AB38" s="45">
        <v>35.6</v>
      </c>
      <c r="AC38" s="45"/>
      <c r="AD38" s="45"/>
      <c r="AE38" s="45"/>
      <c r="AF38" s="66"/>
      <c r="AG38" s="44">
        <f t="shared" si="0"/>
        <v>35.6</v>
      </c>
      <c r="AH38" s="44">
        <f t="shared" si="1"/>
        <v>0.96739130434782616</v>
      </c>
      <c r="AI38" s="45">
        <v>501.3</v>
      </c>
      <c r="AJ38" s="44">
        <f t="shared" si="2"/>
        <v>476.8</v>
      </c>
      <c r="AK38" s="66">
        <f t="shared" si="3"/>
        <v>364.02504199114367</v>
      </c>
      <c r="AL38" s="77"/>
    </row>
    <row r="39" spans="1:38">
      <c r="A39" s="45">
        <v>31</v>
      </c>
      <c r="B39" s="45" t="s">
        <v>214</v>
      </c>
      <c r="C39" s="45" t="e">
        <f>+[2]Sheet1!C47</f>
        <v>#REF!</v>
      </c>
      <c r="D39" s="45">
        <f>+[2]Sheet1!D47</f>
        <v>37</v>
      </c>
      <c r="E39" s="45">
        <f>+[2]Sheet1!E47</f>
        <v>128</v>
      </c>
      <c r="F39" s="45" t="e">
        <f>+[2]Sheet1!H47</f>
        <v>#REF!</v>
      </c>
      <c r="G39" s="45">
        <f>+[2]Sheet1!K47</f>
        <v>37.094000000000001</v>
      </c>
      <c r="H39" s="45">
        <f>+[2]Sheet1!L47</f>
        <v>105.571</v>
      </c>
      <c r="I39" s="44">
        <v>499.8</v>
      </c>
      <c r="J39" s="45">
        <v>30</v>
      </c>
      <c r="K39" s="45">
        <v>27.3</v>
      </c>
      <c r="L39" s="65">
        <v>0</v>
      </c>
      <c r="M39" s="76"/>
      <c r="N39" s="45"/>
      <c r="O39" s="45"/>
      <c r="P39" s="45"/>
      <c r="Q39" s="45"/>
      <c r="R39" s="45"/>
      <c r="S39" s="45"/>
      <c r="T39" s="45"/>
      <c r="U39" s="45">
        <v>11.2</v>
      </c>
      <c r="V39" s="45">
        <v>2.9</v>
      </c>
      <c r="W39" s="45">
        <v>1.7</v>
      </c>
      <c r="X39" s="45">
        <v>3.2</v>
      </c>
      <c r="Y39" s="45">
        <v>450.8</v>
      </c>
      <c r="Z39" s="45">
        <v>415.7</v>
      </c>
      <c r="AA39" s="45">
        <v>34.6</v>
      </c>
      <c r="AB39" s="45">
        <v>35.10000000000008</v>
      </c>
      <c r="AC39" s="45"/>
      <c r="AD39" s="45"/>
      <c r="AE39" s="45"/>
      <c r="AF39" s="66"/>
      <c r="AG39" s="44">
        <f t="shared" si="0"/>
        <v>35.10000000000008</v>
      </c>
      <c r="AH39" s="44">
        <f t="shared" si="1"/>
        <v>1.0144508670520254</v>
      </c>
      <c r="AI39" s="45">
        <v>469.8</v>
      </c>
      <c r="AJ39" s="44">
        <f t="shared" si="2"/>
        <v>450.8</v>
      </c>
      <c r="AK39" s="66">
        <f t="shared" si="3"/>
        <v>344.17468315773397</v>
      </c>
      <c r="AL39" s="77"/>
    </row>
    <row r="40" spans="1:38">
      <c r="A40" s="45">
        <v>32</v>
      </c>
      <c r="B40" s="45" t="s">
        <v>215</v>
      </c>
      <c r="C40" s="45" t="e">
        <f>+[2]Sheet1!C48</f>
        <v>#REF!</v>
      </c>
      <c r="D40" s="45">
        <f>+[2]Sheet1!D48</f>
        <v>36</v>
      </c>
      <c r="E40" s="45">
        <f>+[2]Sheet1!E48</f>
        <v>126</v>
      </c>
      <c r="F40" s="45" t="e">
        <f>+[2]Sheet1!H48</f>
        <v>#REF!</v>
      </c>
      <c r="G40" s="45">
        <f>+[2]Sheet1!K48</f>
        <v>28.979099999999999</v>
      </c>
      <c r="H40" s="45">
        <f>+[2]Sheet1!L48</f>
        <v>106.18859999999999</v>
      </c>
      <c r="I40" s="44">
        <v>456.5</v>
      </c>
      <c r="J40" s="45">
        <v>27.4</v>
      </c>
      <c r="K40" s="45">
        <v>24.9</v>
      </c>
      <c r="L40" s="65">
        <v>0</v>
      </c>
      <c r="M40" s="76"/>
      <c r="N40" s="45"/>
      <c r="O40" s="45"/>
      <c r="P40" s="45"/>
      <c r="Q40" s="45"/>
      <c r="R40" s="45"/>
      <c r="S40" s="45"/>
      <c r="T40" s="45"/>
      <c r="U40" s="45">
        <v>11.3</v>
      </c>
      <c r="V40" s="45">
        <v>2.6</v>
      </c>
      <c r="W40" s="45">
        <v>1.7</v>
      </c>
      <c r="X40" s="45">
        <v>3.2</v>
      </c>
      <c r="Y40" s="45">
        <v>410.3</v>
      </c>
      <c r="Z40" s="45">
        <v>407.3</v>
      </c>
      <c r="AA40" s="45">
        <v>33.9</v>
      </c>
      <c r="AB40" s="45">
        <v>3</v>
      </c>
      <c r="AC40" s="45"/>
      <c r="AD40" s="45"/>
      <c r="AE40" s="45"/>
      <c r="AF40" s="66"/>
      <c r="AG40" s="44">
        <f t="shared" si="0"/>
        <v>3</v>
      </c>
      <c r="AH40" s="44">
        <f t="shared" si="1"/>
        <v>8.8495575221238937E-2</v>
      </c>
      <c r="AI40" s="45">
        <v>429.1</v>
      </c>
      <c r="AJ40" s="44">
        <f t="shared" si="2"/>
        <v>410.3</v>
      </c>
      <c r="AK40" s="66">
        <f t="shared" si="3"/>
        <v>313.25393189799968</v>
      </c>
      <c r="AL40" s="77"/>
    </row>
    <row r="41" spans="1:38">
      <c r="A41" s="45">
        <v>35</v>
      </c>
      <c r="B41" s="45" t="s">
        <v>216</v>
      </c>
      <c r="C41" s="45" t="e">
        <f>+[2]Sheet1!C51</f>
        <v>#REF!</v>
      </c>
      <c r="D41" s="45">
        <f>+[2]Sheet1!D51</f>
        <v>19</v>
      </c>
      <c r="E41" s="45">
        <f>+[2]Sheet1!E51</f>
        <v>40</v>
      </c>
      <c r="F41" s="45" t="e">
        <f>+[2]Sheet1!H51</f>
        <v>#REF!</v>
      </c>
      <c r="G41" s="45">
        <f>+[2]Sheet1!K51</f>
        <v>18.790299999999998</v>
      </c>
      <c r="H41" s="45">
        <f>+[2]Sheet1!L51</f>
        <v>31.960799999999999</v>
      </c>
      <c r="I41" s="44">
        <v>173</v>
      </c>
      <c r="J41" s="45">
        <v>10.4</v>
      </c>
      <c r="K41" s="45">
        <v>9.5</v>
      </c>
      <c r="L41" s="65">
        <v>0</v>
      </c>
      <c r="M41" s="76"/>
      <c r="N41" s="45"/>
      <c r="O41" s="45"/>
      <c r="P41" s="45"/>
      <c r="Q41" s="45"/>
      <c r="R41" s="45"/>
      <c r="S41" s="45"/>
      <c r="T41" s="45"/>
      <c r="U41" s="45">
        <v>4.0999999999999996</v>
      </c>
      <c r="V41" s="45">
        <v>1</v>
      </c>
      <c r="W41" s="45">
        <v>0.6</v>
      </c>
      <c r="X41" s="45">
        <v>1.2</v>
      </c>
      <c r="Y41" s="45">
        <v>155.69999999999999</v>
      </c>
      <c r="Z41" s="45">
        <v>150.19999999999999</v>
      </c>
      <c r="AA41" s="45">
        <v>12.5</v>
      </c>
      <c r="AB41" s="45">
        <v>5.5000000000000284</v>
      </c>
      <c r="AC41" s="45"/>
      <c r="AD41" s="45"/>
      <c r="AE41" s="45"/>
      <c r="AF41" s="66"/>
      <c r="AG41" s="44">
        <f t="shared" si="0"/>
        <v>5.5000000000000284</v>
      </c>
      <c r="AH41" s="44">
        <f t="shared" si="1"/>
        <v>0.44000000000000228</v>
      </c>
      <c r="AI41" s="45">
        <v>162.6</v>
      </c>
      <c r="AJ41" s="44">
        <f t="shared" si="2"/>
        <v>155.69999999999999</v>
      </c>
      <c r="AK41" s="66">
        <f t="shared" si="3"/>
        <v>118.87311039853411</v>
      </c>
      <c r="AL41" s="77"/>
    </row>
    <row r="42" spans="1:38">
      <c r="A42" s="45">
        <v>36</v>
      </c>
      <c r="B42" s="45" t="s">
        <v>217</v>
      </c>
      <c r="C42" s="45" t="e">
        <f>+[2]Sheet1!C52</f>
        <v>#REF!</v>
      </c>
      <c r="D42" s="45">
        <f>+[2]Sheet1!D52</f>
        <v>22</v>
      </c>
      <c r="E42" s="45">
        <f>+[2]Sheet1!E52</f>
        <v>27</v>
      </c>
      <c r="F42" s="45" t="e">
        <f>+[2]Sheet1!H52</f>
        <v>#REF!</v>
      </c>
      <c r="G42" s="45">
        <f>+[2]Sheet1!K52</f>
        <v>20.264199999999999</v>
      </c>
      <c r="H42" s="45">
        <f>+[2]Sheet1!L52</f>
        <v>20.844000000000001</v>
      </c>
      <c r="I42" s="44">
        <v>138.6</v>
      </c>
      <c r="J42" s="45">
        <v>8.3000000000000007</v>
      </c>
      <c r="K42" s="45">
        <v>7.5</v>
      </c>
      <c r="L42" s="65">
        <v>0</v>
      </c>
      <c r="M42" s="76"/>
      <c r="N42" s="45"/>
      <c r="O42" s="45"/>
      <c r="P42" s="45"/>
      <c r="Q42" s="45"/>
      <c r="R42" s="45"/>
      <c r="S42" s="45"/>
      <c r="T42" s="45"/>
      <c r="U42" s="45">
        <v>3.5</v>
      </c>
      <c r="V42" s="45">
        <v>0.8</v>
      </c>
      <c r="W42" s="45">
        <v>0.5</v>
      </c>
      <c r="X42" s="45">
        <v>1</v>
      </c>
      <c r="Y42" s="45">
        <v>124.5</v>
      </c>
      <c r="Z42" s="45">
        <v>96.4</v>
      </c>
      <c r="AA42" s="45">
        <v>8</v>
      </c>
      <c r="AB42" s="45">
        <v>28.1</v>
      </c>
      <c r="AC42" s="45"/>
      <c r="AD42" s="45"/>
      <c r="AE42" s="45"/>
      <c r="AF42" s="66"/>
      <c r="AG42" s="44">
        <f t="shared" si="0"/>
        <v>28.1</v>
      </c>
      <c r="AH42" s="44">
        <f t="shared" si="1"/>
        <v>3.5125000000000002</v>
      </c>
      <c r="AI42" s="45">
        <v>130.30000000000001</v>
      </c>
      <c r="AJ42" s="44">
        <f t="shared" si="2"/>
        <v>124.5</v>
      </c>
      <c r="AK42" s="66">
        <f t="shared" si="3"/>
        <v>95.052679798442512</v>
      </c>
      <c r="AL42" s="77"/>
    </row>
    <row r="43" spans="1:38">
      <c r="A43" s="45">
        <v>37</v>
      </c>
      <c r="B43" s="45" t="s">
        <v>218</v>
      </c>
      <c r="C43" s="45" t="e">
        <f>+[2]Sheet1!C53</f>
        <v>#REF!</v>
      </c>
      <c r="D43" s="45">
        <f>+[2]Sheet1!D53</f>
        <v>20</v>
      </c>
      <c r="E43" s="45">
        <f>+[2]Sheet1!E53</f>
        <v>40</v>
      </c>
      <c r="F43" s="45" t="e">
        <f>+[2]Sheet1!H53</f>
        <v>#REF!</v>
      </c>
      <c r="G43" s="45">
        <f>+[2]Sheet1!K53</f>
        <v>18.422000000000001</v>
      </c>
      <c r="H43" s="45">
        <f>+[2]Sheet1!L53</f>
        <v>30.88</v>
      </c>
      <c r="I43" s="44">
        <v>183.9</v>
      </c>
      <c r="J43" s="45">
        <v>11</v>
      </c>
      <c r="K43" s="45">
        <v>10</v>
      </c>
      <c r="L43" s="65">
        <v>0</v>
      </c>
      <c r="M43" s="76"/>
      <c r="N43" s="45"/>
      <c r="O43" s="45"/>
      <c r="P43" s="45"/>
      <c r="Q43" s="45"/>
      <c r="R43" s="45"/>
      <c r="S43" s="45"/>
      <c r="T43" s="45"/>
      <c r="U43" s="45">
        <v>4.2</v>
      </c>
      <c r="V43" s="45">
        <v>1.1000000000000001</v>
      </c>
      <c r="W43" s="45">
        <v>0.6</v>
      </c>
      <c r="X43" s="45">
        <v>1.2</v>
      </c>
      <c r="Y43" s="45">
        <v>165.8</v>
      </c>
      <c r="Z43" s="45">
        <v>146</v>
      </c>
      <c r="AA43" s="45">
        <v>12.2</v>
      </c>
      <c r="AB43" s="45">
        <v>19.8</v>
      </c>
      <c r="AC43" s="45"/>
      <c r="AD43" s="45"/>
      <c r="AE43" s="45"/>
      <c r="AF43" s="66"/>
      <c r="AG43" s="44">
        <f t="shared" si="0"/>
        <v>19.8</v>
      </c>
      <c r="AH43" s="44">
        <f t="shared" si="1"/>
        <v>1.6229508196721314</v>
      </c>
      <c r="AI43" s="45">
        <v>172.9</v>
      </c>
      <c r="AJ43" s="44">
        <f t="shared" si="2"/>
        <v>165.8</v>
      </c>
      <c r="AK43" s="66">
        <f t="shared" si="3"/>
        <v>126.58421132997404</v>
      </c>
      <c r="AL43" s="77"/>
    </row>
    <row r="44" spans="1:38" s="72" customFormat="1">
      <c r="A44" s="67"/>
      <c r="B44" s="49" t="s">
        <v>219</v>
      </c>
      <c r="C44" s="67"/>
      <c r="D44" s="67"/>
      <c r="E44" s="67"/>
      <c r="F44" s="67"/>
      <c r="G44" s="67"/>
      <c r="H44" s="67"/>
      <c r="I44" s="50">
        <f t="shared" ref="I44:AB44" si="6">SUM(I11:I43)</f>
        <v>37377.500000000007</v>
      </c>
      <c r="J44" s="50">
        <f t="shared" si="6"/>
        <v>2242.7000000000003</v>
      </c>
      <c r="K44" s="50">
        <f t="shared" si="6"/>
        <v>1550.1999999999998</v>
      </c>
      <c r="L44" s="50">
        <f t="shared" si="6"/>
        <v>9.4</v>
      </c>
      <c r="M44" s="50">
        <f t="shared" si="6"/>
        <v>0</v>
      </c>
      <c r="N44" s="50">
        <f t="shared" si="6"/>
        <v>0</v>
      </c>
      <c r="O44" s="50">
        <f t="shared" si="6"/>
        <v>0</v>
      </c>
      <c r="P44" s="50">
        <f t="shared" si="6"/>
        <v>0</v>
      </c>
      <c r="Q44" s="50">
        <f t="shared" si="6"/>
        <v>0</v>
      </c>
      <c r="R44" s="50">
        <f t="shared" si="6"/>
        <v>0</v>
      </c>
      <c r="S44" s="50">
        <f t="shared" si="6"/>
        <v>0</v>
      </c>
      <c r="T44" s="50">
        <f t="shared" si="6"/>
        <v>0</v>
      </c>
      <c r="U44" s="50">
        <f t="shared" si="6"/>
        <v>613.19999999999993</v>
      </c>
      <c r="V44" s="50">
        <f t="shared" si="6"/>
        <v>214.70000000000005</v>
      </c>
      <c r="W44" s="50">
        <f t="shared" si="6"/>
        <v>90.999999999999986</v>
      </c>
      <c r="X44" s="50">
        <f t="shared" si="6"/>
        <v>175.29999999999998</v>
      </c>
      <c r="Y44" s="50">
        <f t="shared" si="6"/>
        <v>34040.6</v>
      </c>
      <c r="Z44" s="50">
        <f t="shared" si="6"/>
        <v>36331.499999999993</v>
      </c>
      <c r="AA44" s="50">
        <f t="shared" si="6"/>
        <v>3027.7000000000007</v>
      </c>
      <c r="AB44" s="50">
        <f t="shared" si="6"/>
        <v>-2290.9000000000005</v>
      </c>
      <c r="AC44" s="50">
        <f>SUM(AC11:AC43)</f>
        <v>23</v>
      </c>
      <c r="AD44" s="50">
        <f t="shared" ref="AD44:AK44" si="7">SUM(AD11:AD43)</f>
        <v>206</v>
      </c>
      <c r="AE44" s="50">
        <f t="shared" si="7"/>
        <v>56.5</v>
      </c>
      <c r="AF44" s="50">
        <f>SUM(AF11:AF43)</f>
        <v>967.3</v>
      </c>
      <c r="AG44" s="50">
        <f t="shared" si="7"/>
        <v>-1323.5999999999995</v>
      </c>
      <c r="AH44" s="50">
        <v>-0.4</v>
      </c>
      <c r="AI44" s="50">
        <f t="shared" si="7"/>
        <v>36397.000000000007</v>
      </c>
      <c r="AJ44" s="50">
        <f t="shared" si="7"/>
        <v>35302.80000000001</v>
      </c>
      <c r="AK44" s="50">
        <f t="shared" si="7"/>
        <v>26952.817224003662</v>
      </c>
      <c r="AL44" s="77"/>
    </row>
    <row r="45" spans="1:38" ht="22.5">
      <c r="A45" s="45">
        <v>38</v>
      </c>
      <c r="B45" s="37" t="s">
        <v>220</v>
      </c>
      <c r="C45" s="45"/>
      <c r="D45" s="45"/>
      <c r="E45" s="45"/>
      <c r="F45" s="45"/>
      <c r="G45" s="45"/>
      <c r="H45" s="45"/>
      <c r="I45" s="50"/>
      <c r="J45" s="45"/>
      <c r="K45" s="45"/>
      <c r="L45" s="45"/>
      <c r="M45" s="45">
        <v>203.3</v>
      </c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76"/>
      <c r="Z45" s="45"/>
      <c r="AA45" s="45"/>
      <c r="AB45" s="45"/>
      <c r="AC45" s="44"/>
      <c r="AD45" s="44"/>
      <c r="AE45" s="44"/>
      <c r="AF45" s="44"/>
      <c r="AG45" s="44"/>
      <c r="AH45" s="45"/>
      <c r="AI45" s="45">
        <v>203.3</v>
      </c>
      <c r="AJ45" s="44">
        <v>203.3</v>
      </c>
      <c r="AK45" s="66">
        <f t="shared" si="3"/>
        <v>155.21453657046877</v>
      </c>
      <c r="AL45" s="77"/>
    </row>
    <row r="46" spans="1:38">
      <c r="A46" s="45">
        <v>39</v>
      </c>
      <c r="B46" s="45" t="s">
        <v>221</v>
      </c>
      <c r="C46" s="45"/>
      <c r="D46" s="45"/>
      <c r="E46" s="45"/>
      <c r="F46" s="45"/>
      <c r="G46" s="45"/>
      <c r="H46" s="45"/>
      <c r="I46" s="50"/>
      <c r="J46" s="45"/>
      <c r="K46" s="45"/>
      <c r="L46" s="45"/>
      <c r="M46" s="44">
        <v>119.7</v>
      </c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76"/>
      <c r="Z46" s="45"/>
      <c r="AA46" s="45"/>
      <c r="AB46" s="45"/>
      <c r="AC46" s="44"/>
      <c r="AD46" s="44"/>
      <c r="AE46" s="44"/>
      <c r="AF46" s="44"/>
      <c r="AG46" s="44"/>
      <c r="AH46" s="45"/>
      <c r="AI46" s="45">
        <v>119.7</v>
      </c>
      <c r="AJ46" s="44">
        <v>119.7</v>
      </c>
      <c r="AK46" s="66">
        <f t="shared" si="3"/>
        <v>91.387998167659177</v>
      </c>
      <c r="AL46" s="77"/>
    </row>
    <row r="47" spans="1:38">
      <c r="A47" s="45">
        <v>40</v>
      </c>
      <c r="B47" s="45" t="s">
        <v>222</v>
      </c>
      <c r="C47" s="45"/>
      <c r="D47" s="45"/>
      <c r="E47" s="45"/>
      <c r="F47" s="45"/>
      <c r="G47" s="45"/>
      <c r="H47" s="45"/>
      <c r="I47" s="50"/>
      <c r="J47" s="45"/>
      <c r="K47" s="45"/>
      <c r="L47" s="45"/>
      <c r="M47" s="44">
        <v>78.900000000000006</v>
      </c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76"/>
      <c r="Z47" s="45"/>
      <c r="AA47" s="45"/>
      <c r="AB47" s="45"/>
      <c r="AC47" s="44"/>
      <c r="AD47" s="44"/>
      <c r="AE47" s="44"/>
      <c r="AF47" s="44"/>
      <c r="AG47" s="44"/>
      <c r="AH47" s="45"/>
      <c r="AI47" s="45">
        <v>78.900000000000006</v>
      </c>
      <c r="AJ47" s="44">
        <v>78.8</v>
      </c>
      <c r="AK47" s="66">
        <f t="shared" si="3"/>
        <v>60.161856772026255</v>
      </c>
      <c r="AL47" s="77"/>
    </row>
    <row r="48" spans="1:38">
      <c r="A48" s="45">
        <v>41</v>
      </c>
      <c r="B48" s="45" t="s">
        <v>223</v>
      </c>
      <c r="C48" s="45"/>
      <c r="D48" s="45"/>
      <c r="E48" s="45"/>
      <c r="F48" s="45"/>
      <c r="G48" s="45"/>
      <c r="H48" s="45"/>
      <c r="I48" s="50"/>
      <c r="J48" s="45"/>
      <c r="K48" s="45"/>
      <c r="L48" s="45"/>
      <c r="M48" s="44">
        <v>66.900000000000006</v>
      </c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76"/>
      <c r="Z48" s="45"/>
      <c r="AA48" s="45"/>
      <c r="AB48" s="45"/>
      <c r="AC48" s="44"/>
      <c r="AD48" s="44"/>
      <c r="AE48" s="44"/>
      <c r="AF48" s="44"/>
      <c r="AG48" s="44"/>
      <c r="AH48" s="45"/>
      <c r="AI48" s="45">
        <v>66.900000000000006</v>
      </c>
      <c r="AJ48" s="44">
        <v>66.900000000000006</v>
      </c>
      <c r="AK48" s="66">
        <f t="shared" si="3"/>
        <v>51.076500229042601</v>
      </c>
      <c r="AL48" s="77"/>
    </row>
    <row r="49" spans="1:38">
      <c r="A49" s="45">
        <v>42</v>
      </c>
      <c r="B49" s="45" t="s">
        <v>224</v>
      </c>
      <c r="C49" s="45"/>
      <c r="D49" s="45"/>
      <c r="E49" s="45"/>
      <c r="F49" s="45"/>
      <c r="G49" s="45"/>
      <c r="H49" s="45"/>
      <c r="I49" s="50"/>
      <c r="J49" s="45"/>
      <c r="K49" s="45"/>
      <c r="L49" s="45"/>
      <c r="M49" s="44">
        <v>147.9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76"/>
      <c r="Z49" s="45"/>
      <c r="AA49" s="45"/>
      <c r="AB49" s="45"/>
      <c r="AC49" s="44"/>
      <c r="AD49" s="44"/>
      <c r="AE49" s="44"/>
      <c r="AF49" s="44"/>
      <c r="AG49" s="44"/>
      <c r="AH49" s="45"/>
      <c r="AI49" s="45">
        <v>147.9</v>
      </c>
      <c r="AJ49" s="44">
        <v>147.9</v>
      </c>
      <c r="AK49" s="66">
        <f t="shared" si="3"/>
        <v>112.91800274851123</v>
      </c>
      <c r="AL49" s="77"/>
    </row>
    <row r="50" spans="1:38">
      <c r="A50" s="45">
        <v>43</v>
      </c>
      <c r="B50" s="45" t="s">
        <v>225</v>
      </c>
      <c r="C50" s="45"/>
      <c r="D50" s="45"/>
      <c r="E50" s="45"/>
      <c r="F50" s="45"/>
      <c r="G50" s="45"/>
      <c r="H50" s="45"/>
      <c r="I50" s="50"/>
      <c r="J50" s="45"/>
      <c r="K50" s="45"/>
      <c r="L50" s="45"/>
      <c r="M50" s="44">
        <v>40.1</v>
      </c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76"/>
      <c r="Z50" s="45"/>
      <c r="AA50" s="45"/>
      <c r="AB50" s="45"/>
      <c r="AC50" s="44"/>
      <c r="AD50" s="44"/>
      <c r="AE50" s="44"/>
      <c r="AF50" s="44"/>
      <c r="AG50" s="44"/>
      <c r="AH50" s="45"/>
      <c r="AI50" s="45">
        <v>40.1</v>
      </c>
      <c r="AJ50" s="44">
        <v>40.1</v>
      </c>
      <c r="AK50" s="66">
        <f t="shared" si="3"/>
        <v>30.615361123835701</v>
      </c>
      <c r="AL50" s="77"/>
    </row>
    <row r="51" spans="1:38">
      <c r="A51" s="45">
        <v>44</v>
      </c>
      <c r="B51" s="45" t="s">
        <v>226</v>
      </c>
      <c r="C51" s="45"/>
      <c r="D51" s="45"/>
      <c r="E51" s="45"/>
      <c r="F51" s="45"/>
      <c r="G51" s="45"/>
      <c r="H51" s="45"/>
      <c r="I51" s="50"/>
      <c r="J51" s="45"/>
      <c r="K51" s="45"/>
      <c r="L51" s="45"/>
      <c r="M51" s="44">
        <v>26.2</v>
      </c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76"/>
      <c r="Z51" s="45"/>
      <c r="AA51" s="45"/>
      <c r="AB51" s="45"/>
      <c r="AC51" s="44"/>
      <c r="AD51" s="44"/>
      <c r="AE51" s="44"/>
      <c r="AF51" s="44"/>
      <c r="AG51" s="44"/>
      <c r="AH51" s="45"/>
      <c r="AI51" s="45">
        <v>26.2</v>
      </c>
      <c r="AJ51" s="45"/>
      <c r="AK51" s="66"/>
      <c r="AL51" s="77"/>
    </row>
    <row r="52" spans="1:38" hidden="1">
      <c r="A52" s="45">
        <v>45</v>
      </c>
      <c r="B52" s="45" t="s">
        <v>227</v>
      </c>
      <c r="C52" s="45"/>
      <c r="D52" s="45"/>
      <c r="E52" s="45"/>
      <c r="F52" s="45"/>
      <c r="G52" s="45"/>
      <c r="H52" s="45"/>
      <c r="I52" s="50"/>
      <c r="J52" s="45"/>
      <c r="K52" s="45"/>
      <c r="L52" s="45"/>
      <c r="M52" s="44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76"/>
      <c r="Z52" s="45"/>
      <c r="AA52" s="45"/>
      <c r="AB52" s="45"/>
      <c r="AC52" s="44"/>
      <c r="AD52" s="44"/>
      <c r="AE52" s="44"/>
      <c r="AF52" s="44"/>
      <c r="AG52" s="44"/>
      <c r="AH52" s="45"/>
      <c r="AI52" s="45"/>
      <c r="AJ52" s="45"/>
      <c r="AK52" s="66"/>
      <c r="AL52" s="77"/>
    </row>
    <row r="53" spans="1:38" s="72" customFormat="1">
      <c r="A53" s="67"/>
      <c r="B53" s="49" t="s">
        <v>105</v>
      </c>
      <c r="C53" s="67">
        <f>+[2]Sheet1!C54</f>
        <v>7435</v>
      </c>
      <c r="D53" s="67" t="e">
        <f>SUM(D11:D43)</f>
        <v>#REF!</v>
      </c>
      <c r="E53" s="67" t="e">
        <f>SUM(E11:E43)</f>
        <v>#REF!</v>
      </c>
      <c r="F53" s="68" t="e">
        <f>SUM(F11:F43)</f>
        <v>#REF!</v>
      </c>
      <c r="G53" s="67" t="e">
        <f>SUM(G11:G43)</f>
        <v>#REF!</v>
      </c>
      <c r="H53" s="67" t="e">
        <f>SUM(H11:H43)</f>
        <v>#REF!</v>
      </c>
      <c r="I53" s="50"/>
      <c r="J53" s="50">
        <f t="shared" ref="J53:AG53" si="8">SUM(J44:J51)</f>
        <v>2242.7000000000003</v>
      </c>
      <c r="K53" s="50">
        <f t="shared" si="8"/>
        <v>1550.1999999999998</v>
      </c>
      <c r="L53" s="50">
        <f t="shared" si="8"/>
        <v>9.4</v>
      </c>
      <c r="M53" s="50">
        <f t="shared" si="8"/>
        <v>683</v>
      </c>
      <c r="N53" s="50">
        <f t="shared" si="8"/>
        <v>0</v>
      </c>
      <c r="O53" s="50">
        <f t="shared" si="8"/>
        <v>0</v>
      </c>
      <c r="P53" s="50">
        <f t="shared" si="8"/>
        <v>0</v>
      </c>
      <c r="Q53" s="50">
        <f t="shared" si="8"/>
        <v>0</v>
      </c>
      <c r="R53" s="50">
        <f t="shared" si="8"/>
        <v>0</v>
      </c>
      <c r="S53" s="50">
        <f t="shared" si="8"/>
        <v>0</v>
      </c>
      <c r="T53" s="50">
        <f t="shared" si="8"/>
        <v>0</v>
      </c>
      <c r="U53" s="50">
        <f t="shared" si="8"/>
        <v>613.19999999999993</v>
      </c>
      <c r="V53" s="50">
        <f t="shared" si="8"/>
        <v>214.70000000000005</v>
      </c>
      <c r="W53" s="50">
        <f t="shared" si="8"/>
        <v>90.999999999999986</v>
      </c>
      <c r="X53" s="50">
        <f t="shared" si="8"/>
        <v>175.29999999999998</v>
      </c>
      <c r="Y53" s="50">
        <f t="shared" si="8"/>
        <v>34040.6</v>
      </c>
      <c r="Z53" s="50">
        <f t="shared" si="8"/>
        <v>36331.499999999993</v>
      </c>
      <c r="AA53" s="50">
        <f t="shared" si="8"/>
        <v>3027.7000000000007</v>
      </c>
      <c r="AB53" s="50">
        <f t="shared" si="8"/>
        <v>-2290.9000000000005</v>
      </c>
      <c r="AC53" s="50">
        <f t="shared" si="8"/>
        <v>23</v>
      </c>
      <c r="AD53" s="50">
        <f t="shared" si="8"/>
        <v>206</v>
      </c>
      <c r="AE53" s="50">
        <f t="shared" si="8"/>
        <v>56.5</v>
      </c>
      <c r="AF53" s="50">
        <f t="shared" si="8"/>
        <v>967.3</v>
      </c>
      <c r="AG53" s="50">
        <f t="shared" si="8"/>
        <v>-1323.5999999999995</v>
      </c>
      <c r="AH53" s="67"/>
      <c r="AI53" s="50">
        <f>SUM(AI44:AI52)</f>
        <v>37080.000000000007</v>
      </c>
      <c r="AJ53" s="50">
        <f>SUM(AJ44:AJ51)</f>
        <v>35959.500000000015</v>
      </c>
      <c r="AK53" s="50">
        <f>SUM(AK44:AK51)</f>
        <v>27454.191479615205</v>
      </c>
      <c r="AL53" s="77"/>
    </row>
    <row r="54" spans="1:38">
      <c r="C54" s="53"/>
      <c r="J54" s="51"/>
      <c r="U54" s="51"/>
      <c r="AB54" s="51"/>
      <c r="AI54" s="51"/>
    </row>
    <row r="55" spans="1:38">
      <c r="C55" s="53"/>
      <c r="D55" s="30"/>
      <c r="E55" s="30"/>
      <c r="F55" s="30"/>
      <c r="G55" s="30"/>
      <c r="H55" s="30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</row>
    <row r="56" spans="1:38">
      <c r="C56" s="53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51"/>
      <c r="AC56" s="30"/>
      <c r="AD56" s="30"/>
      <c r="AE56" s="30"/>
      <c r="AF56" s="30"/>
      <c r="AG56" s="30"/>
      <c r="AH56" s="30"/>
      <c r="AI56" s="51"/>
    </row>
    <row r="57" spans="1:38">
      <c r="C57" s="53"/>
      <c r="J57" s="30"/>
      <c r="K57" s="30"/>
      <c r="L57" s="30"/>
      <c r="M57" s="30"/>
      <c r="Y57" s="30"/>
      <c r="Z57" s="30"/>
      <c r="AA57" s="30"/>
      <c r="AC57" s="30"/>
      <c r="AD57" s="30"/>
      <c r="AE57" s="30"/>
      <c r="AF57" s="30"/>
      <c r="AG57" s="30"/>
      <c r="AH57" s="30"/>
      <c r="AI57" s="51"/>
    </row>
    <row r="58" spans="1:38">
      <c r="C58" s="53"/>
      <c r="J58" s="30"/>
      <c r="K58" s="30"/>
      <c r="L58" s="30"/>
      <c r="M58" s="30"/>
      <c r="Y58" s="30"/>
      <c r="AB58" s="69"/>
      <c r="AC58" s="30"/>
      <c r="AD58" s="30"/>
      <c r="AE58" s="30"/>
      <c r="AF58" s="30"/>
      <c r="AG58" s="51"/>
      <c r="AI58" s="77"/>
    </row>
    <row r="59" spans="1:38">
      <c r="C59" s="53"/>
      <c r="J59" s="30"/>
      <c r="K59" s="30"/>
      <c r="L59" s="30"/>
      <c r="M59" s="30"/>
      <c r="Y59" s="70"/>
    </row>
    <row r="60" spans="1:38">
      <c r="C60" s="53"/>
      <c r="W60" s="77"/>
      <c r="Y60" s="77"/>
      <c r="AI60" s="77"/>
    </row>
    <row r="61" spans="1:38">
      <c r="C61" s="53"/>
      <c r="Y61" s="77"/>
      <c r="AI61" s="77"/>
    </row>
    <row r="62" spans="1:38">
      <c r="C62" s="53"/>
      <c r="K62" s="77"/>
      <c r="AI62" s="77"/>
    </row>
    <row r="63" spans="1:38">
      <c r="C63" s="53"/>
      <c r="V63" s="77"/>
      <c r="AC63" s="77"/>
      <c r="AD63" s="77"/>
      <c r="AE63" s="77"/>
      <c r="AF63" s="77"/>
    </row>
    <row r="64" spans="1:38">
      <c r="C64" s="53"/>
    </row>
    <row r="65" spans="3:35">
      <c r="C65" s="53"/>
      <c r="AI65" s="77"/>
    </row>
    <row r="66" spans="3:35">
      <c r="C66" s="53"/>
    </row>
    <row r="67" spans="3:35">
      <c r="C67" s="53"/>
    </row>
    <row r="68" spans="3:35">
      <c r="C68" s="53"/>
    </row>
    <row r="69" spans="3:35">
      <c r="C69" s="53"/>
    </row>
    <row r="70" spans="3:35">
      <c r="C70" s="53"/>
    </row>
  </sheetData>
  <mergeCells count="43">
    <mergeCell ref="AB3:AB9"/>
    <mergeCell ref="H4:H9"/>
    <mergeCell ref="I4:I9"/>
    <mergeCell ref="J4:T4"/>
    <mergeCell ref="U4:Y4"/>
    <mergeCell ref="K6:K9"/>
    <mergeCell ref="L6:L9"/>
    <mergeCell ref="M6:M9"/>
    <mergeCell ref="S5:S9"/>
    <mergeCell ref="T5:T9"/>
    <mergeCell ref="U5:U9"/>
    <mergeCell ref="V5:V9"/>
    <mergeCell ref="W5:W9"/>
    <mergeCell ref="X5:X9"/>
    <mergeCell ref="Q5:Q9"/>
    <mergeCell ref="A3:A9"/>
    <mergeCell ref="B3:B9"/>
    <mergeCell ref="I3:Y3"/>
    <mergeCell ref="Z3:Z9"/>
    <mergeCell ref="AA3:AA9"/>
    <mergeCell ref="C4:C9"/>
    <mergeCell ref="D4:D9"/>
    <mergeCell ref="E4:E9"/>
    <mergeCell ref="F4:F9"/>
    <mergeCell ref="G4:G9"/>
    <mergeCell ref="J5:J9"/>
    <mergeCell ref="K5:M5"/>
    <mergeCell ref="N5:N9"/>
    <mergeCell ref="O5:O9"/>
    <mergeCell ref="P5:P9"/>
    <mergeCell ref="Y5:Y9"/>
    <mergeCell ref="AJ1:AK1"/>
    <mergeCell ref="AK4:AK9"/>
    <mergeCell ref="AC3:AF3"/>
    <mergeCell ref="AG3:AG9"/>
    <mergeCell ref="AH3:AH9"/>
    <mergeCell ref="AI3:AI9"/>
    <mergeCell ref="AJ3:AK3"/>
    <mergeCell ref="AC4:AC9"/>
    <mergeCell ref="AD4:AD9"/>
    <mergeCell ref="AE4:AE9"/>
    <mergeCell ref="AF4:AF9"/>
    <mergeCell ref="AJ4:AJ9"/>
  </mergeCells>
  <pageMargins left="0.11811023622047245" right="0" top="0.55118110236220474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38"/>
  <sheetViews>
    <sheetView workbookViewId="0">
      <selection activeCell="AC30" sqref="AC30"/>
    </sheetView>
  </sheetViews>
  <sheetFormatPr defaultRowHeight="12.75"/>
  <cols>
    <col min="1" max="1" width="9.7109375" style="208" customWidth="1"/>
    <col min="2" max="2" width="27.5703125" style="208" customWidth="1"/>
    <col min="3" max="3" width="7.85546875" style="208" customWidth="1"/>
    <col min="4" max="4" width="8.140625" style="208" customWidth="1"/>
    <col min="5" max="5" width="5.5703125" style="208" customWidth="1"/>
    <col min="6" max="6" width="7.140625" style="208" customWidth="1"/>
    <col min="7" max="7" width="7" style="208" customWidth="1"/>
    <col min="8" max="8" width="6.7109375" style="208" customWidth="1"/>
    <col min="9" max="9" width="6.28515625" style="208" customWidth="1"/>
    <col min="10" max="11" width="7" style="208" customWidth="1"/>
    <col min="12" max="12" width="6.5703125" style="208" customWidth="1"/>
    <col min="13" max="13" width="4.85546875" style="208" customWidth="1"/>
    <col min="14" max="14" width="7.28515625" style="208" customWidth="1"/>
    <col min="15" max="15" width="6.7109375" style="208" customWidth="1"/>
    <col min="16" max="16" width="6.85546875" style="208" customWidth="1"/>
    <col min="17" max="17" width="5.42578125" style="208" customWidth="1"/>
    <col min="18" max="18" width="6.5703125" style="208" customWidth="1"/>
    <col min="19" max="19" width="5.140625" style="208" customWidth="1"/>
    <col min="20" max="20" width="5" style="208" customWidth="1"/>
    <col min="21" max="21" width="4.7109375" style="208" customWidth="1"/>
    <col min="22" max="22" width="5.140625" style="208" customWidth="1"/>
    <col min="23" max="23" width="5.7109375" style="208" customWidth="1"/>
    <col min="24" max="24" width="6.140625" style="208" customWidth="1"/>
    <col min="25" max="25" width="4.7109375" style="208" customWidth="1"/>
    <col min="26" max="26" width="5.140625" style="208" customWidth="1"/>
    <col min="27" max="27" width="5.5703125" style="208" customWidth="1"/>
    <col min="28" max="28" width="5.85546875" style="208" customWidth="1"/>
    <col min="29" max="29" width="5.42578125" style="208" customWidth="1"/>
    <col min="30" max="30" width="5.28515625" style="208" customWidth="1"/>
    <col min="31" max="256" width="9.140625" style="208"/>
    <col min="257" max="257" width="9.7109375" style="208" customWidth="1"/>
    <col min="258" max="258" width="29.42578125" style="208" customWidth="1"/>
    <col min="259" max="259" width="7.140625" style="208" customWidth="1"/>
    <col min="260" max="260" width="7.7109375" style="208" customWidth="1"/>
    <col min="261" max="261" width="5.5703125" style="208" customWidth="1"/>
    <col min="262" max="262" width="7.140625" style="208" customWidth="1"/>
    <col min="263" max="263" width="7" style="208" customWidth="1"/>
    <col min="264" max="264" width="6.7109375" style="208" customWidth="1"/>
    <col min="265" max="265" width="6.28515625" style="208" customWidth="1"/>
    <col min="266" max="267" width="7" style="208" customWidth="1"/>
    <col min="268" max="268" width="6.5703125" style="208" customWidth="1"/>
    <col min="269" max="269" width="4.85546875" style="208" customWidth="1"/>
    <col min="270" max="270" width="7.28515625" style="208" customWidth="1"/>
    <col min="271" max="272" width="6.28515625" style="208" customWidth="1"/>
    <col min="273" max="273" width="5.42578125" style="208" customWidth="1"/>
    <col min="274" max="274" width="6.5703125" style="208" customWidth="1"/>
    <col min="275" max="275" width="5.140625" style="208" customWidth="1"/>
    <col min="276" max="276" width="5" style="208" customWidth="1"/>
    <col min="277" max="277" width="4.7109375" style="208" customWidth="1"/>
    <col min="278" max="278" width="5.140625" style="208" customWidth="1"/>
    <col min="279" max="279" width="5.7109375" style="208" customWidth="1"/>
    <col min="280" max="280" width="6.140625" style="208" customWidth="1"/>
    <col min="281" max="281" width="4.7109375" style="208" customWidth="1"/>
    <col min="282" max="282" width="5.140625" style="208" customWidth="1"/>
    <col min="283" max="283" width="5.5703125" style="208" customWidth="1"/>
    <col min="284" max="284" width="5.85546875" style="208" customWidth="1"/>
    <col min="285" max="285" width="5.42578125" style="208" customWidth="1"/>
    <col min="286" max="286" width="5.28515625" style="208" customWidth="1"/>
    <col min="287" max="512" width="9.140625" style="208"/>
    <col min="513" max="513" width="9.7109375" style="208" customWidth="1"/>
    <col min="514" max="514" width="29.42578125" style="208" customWidth="1"/>
    <col min="515" max="515" width="7.140625" style="208" customWidth="1"/>
    <col min="516" max="516" width="7.7109375" style="208" customWidth="1"/>
    <col min="517" max="517" width="5.5703125" style="208" customWidth="1"/>
    <col min="518" max="518" width="7.140625" style="208" customWidth="1"/>
    <col min="519" max="519" width="7" style="208" customWidth="1"/>
    <col min="520" max="520" width="6.7109375" style="208" customWidth="1"/>
    <col min="521" max="521" width="6.28515625" style="208" customWidth="1"/>
    <col min="522" max="523" width="7" style="208" customWidth="1"/>
    <col min="524" max="524" width="6.5703125" style="208" customWidth="1"/>
    <col min="525" max="525" width="4.85546875" style="208" customWidth="1"/>
    <col min="526" max="526" width="7.28515625" style="208" customWidth="1"/>
    <col min="527" max="528" width="6.28515625" style="208" customWidth="1"/>
    <col min="529" max="529" width="5.42578125" style="208" customWidth="1"/>
    <col min="530" max="530" width="6.5703125" style="208" customWidth="1"/>
    <col min="531" max="531" width="5.140625" style="208" customWidth="1"/>
    <col min="532" max="532" width="5" style="208" customWidth="1"/>
    <col min="533" max="533" width="4.7109375" style="208" customWidth="1"/>
    <col min="534" max="534" width="5.140625" style="208" customWidth="1"/>
    <col min="535" max="535" width="5.7109375" style="208" customWidth="1"/>
    <col min="536" max="536" width="6.140625" style="208" customWidth="1"/>
    <col min="537" max="537" width="4.7109375" style="208" customWidth="1"/>
    <col min="538" max="538" width="5.140625" style="208" customWidth="1"/>
    <col min="539" max="539" width="5.5703125" style="208" customWidth="1"/>
    <col min="540" max="540" width="5.85546875" style="208" customWidth="1"/>
    <col min="541" max="541" width="5.42578125" style="208" customWidth="1"/>
    <col min="542" max="542" width="5.28515625" style="208" customWidth="1"/>
    <col min="543" max="768" width="9.140625" style="208"/>
    <col min="769" max="769" width="9.7109375" style="208" customWidth="1"/>
    <col min="770" max="770" width="29.42578125" style="208" customWidth="1"/>
    <col min="771" max="771" width="7.140625" style="208" customWidth="1"/>
    <col min="772" max="772" width="7.7109375" style="208" customWidth="1"/>
    <col min="773" max="773" width="5.5703125" style="208" customWidth="1"/>
    <col min="774" max="774" width="7.140625" style="208" customWidth="1"/>
    <col min="775" max="775" width="7" style="208" customWidth="1"/>
    <col min="776" max="776" width="6.7109375" style="208" customWidth="1"/>
    <col min="777" max="777" width="6.28515625" style="208" customWidth="1"/>
    <col min="778" max="779" width="7" style="208" customWidth="1"/>
    <col min="780" max="780" width="6.5703125" style="208" customWidth="1"/>
    <col min="781" max="781" width="4.85546875" style="208" customWidth="1"/>
    <col min="782" max="782" width="7.28515625" style="208" customWidth="1"/>
    <col min="783" max="784" width="6.28515625" style="208" customWidth="1"/>
    <col min="785" max="785" width="5.42578125" style="208" customWidth="1"/>
    <col min="786" max="786" width="6.5703125" style="208" customWidth="1"/>
    <col min="787" max="787" width="5.140625" style="208" customWidth="1"/>
    <col min="788" max="788" width="5" style="208" customWidth="1"/>
    <col min="789" max="789" width="4.7109375" style="208" customWidth="1"/>
    <col min="790" max="790" width="5.140625" style="208" customWidth="1"/>
    <col min="791" max="791" width="5.7109375" style="208" customWidth="1"/>
    <col min="792" max="792" width="6.140625" style="208" customWidth="1"/>
    <col min="793" max="793" width="4.7109375" style="208" customWidth="1"/>
    <col min="794" max="794" width="5.140625" style="208" customWidth="1"/>
    <col min="795" max="795" width="5.5703125" style="208" customWidth="1"/>
    <col min="796" max="796" width="5.85546875" style="208" customWidth="1"/>
    <col min="797" max="797" width="5.42578125" style="208" customWidth="1"/>
    <col min="798" max="798" width="5.28515625" style="208" customWidth="1"/>
    <col min="799" max="1024" width="9.140625" style="208"/>
    <col min="1025" max="1025" width="9.7109375" style="208" customWidth="1"/>
    <col min="1026" max="1026" width="29.42578125" style="208" customWidth="1"/>
    <col min="1027" max="1027" width="7.140625" style="208" customWidth="1"/>
    <col min="1028" max="1028" width="7.7109375" style="208" customWidth="1"/>
    <col min="1029" max="1029" width="5.5703125" style="208" customWidth="1"/>
    <col min="1030" max="1030" width="7.140625" style="208" customWidth="1"/>
    <col min="1031" max="1031" width="7" style="208" customWidth="1"/>
    <col min="1032" max="1032" width="6.7109375" style="208" customWidth="1"/>
    <col min="1033" max="1033" width="6.28515625" style="208" customWidth="1"/>
    <col min="1034" max="1035" width="7" style="208" customWidth="1"/>
    <col min="1036" max="1036" width="6.5703125" style="208" customWidth="1"/>
    <col min="1037" max="1037" width="4.85546875" style="208" customWidth="1"/>
    <col min="1038" max="1038" width="7.28515625" style="208" customWidth="1"/>
    <col min="1039" max="1040" width="6.28515625" style="208" customWidth="1"/>
    <col min="1041" max="1041" width="5.42578125" style="208" customWidth="1"/>
    <col min="1042" max="1042" width="6.5703125" style="208" customWidth="1"/>
    <col min="1043" max="1043" width="5.140625" style="208" customWidth="1"/>
    <col min="1044" max="1044" width="5" style="208" customWidth="1"/>
    <col min="1045" max="1045" width="4.7109375" style="208" customWidth="1"/>
    <col min="1046" max="1046" width="5.140625" style="208" customWidth="1"/>
    <col min="1047" max="1047" width="5.7109375" style="208" customWidth="1"/>
    <col min="1048" max="1048" width="6.140625" style="208" customWidth="1"/>
    <col min="1049" max="1049" width="4.7109375" style="208" customWidth="1"/>
    <col min="1050" max="1050" width="5.140625" style="208" customWidth="1"/>
    <col min="1051" max="1051" width="5.5703125" style="208" customWidth="1"/>
    <col min="1052" max="1052" width="5.85546875" style="208" customWidth="1"/>
    <col min="1053" max="1053" width="5.42578125" style="208" customWidth="1"/>
    <col min="1054" max="1054" width="5.28515625" style="208" customWidth="1"/>
    <col min="1055" max="1280" width="9.140625" style="208"/>
    <col min="1281" max="1281" width="9.7109375" style="208" customWidth="1"/>
    <col min="1282" max="1282" width="29.42578125" style="208" customWidth="1"/>
    <col min="1283" max="1283" width="7.140625" style="208" customWidth="1"/>
    <col min="1284" max="1284" width="7.7109375" style="208" customWidth="1"/>
    <col min="1285" max="1285" width="5.5703125" style="208" customWidth="1"/>
    <col min="1286" max="1286" width="7.140625" style="208" customWidth="1"/>
    <col min="1287" max="1287" width="7" style="208" customWidth="1"/>
    <col min="1288" max="1288" width="6.7109375" style="208" customWidth="1"/>
    <col min="1289" max="1289" width="6.28515625" style="208" customWidth="1"/>
    <col min="1290" max="1291" width="7" style="208" customWidth="1"/>
    <col min="1292" max="1292" width="6.5703125" style="208" customWidth="1"/>
    <col min="1293" max="1293" width="4.85546875" style="208" customWidth="1"/>
    <col min="1294" max="1294" width="7.28515625" style="208" customWidth="1"/>
    <col min="1295" max="1296" width="6.28515625" style="208" customWidth="1"/>
    <col min="1297" max="1297" width="5.42578125" style="208" customWidth="1"/>
    <col min="1298" max="1298" width="6.5703125" style="208" customWidth="1"/>
    <col min="1299" max="1299" width="5.140625" style="208" customWidth="1"/>
    <col min="1300" max="1300" width="5" style="208" customWidth="1"/>
    <col min="1301" max="1301" width="4.7109375" style="208" customWidth="1"/>
    <col min="1302" max="1302" width="5.140625" style="208" customWidth="1"/>
    <col min="1303" max="1303" width="5.7109375" style="208" customWidth="1"/>
    <col min="1304" max="1304" width="6.140625" style="208" customWidth="1"/>
    <col min="1305" max="1305" width="4.7109375" style="208" customWidth="1"/>
    <col min="1306" max="1306" width="5.140625" style="208" customWidth="1"/>
    <col min="1307" max="1307" width="5.5703125" style="208" customWidth="1"/>
    <col min="1308" max="1308" width="5.85546875" style="208" customWidth="1"/>
    <col min="1309" max="1309" width="5.42578125" style="208" customWidth="1"/>
    <col min="1310" max="1310" width="5.28515625" style="208" customWidth="1"/>
    <col min="1311" max="1536" width="9.140625" style="208"/>
    <col min="1537" max="1537" width="9.7109375" style="208" customWidth="1"/>
    <col min="1538" max="1538" width="29.42578125" style="208" customWidth="1"/>
    <col min="1539" max="1539" width="7.140625" style="208" customWidth="1"/>
    <col min="1540" max="1540" width="7.7109375" style="208" customWidth="1"/>
    <col min="1541" max="1541" width="5.5703125" style="208" customWidth="1"/>
    <col min="1542" max="1542" width="7.140625" style="208" customWidth="1"/>
    <col min="1543" max="1543" width="7" style="208" customWidth="1"/>
    <col min="1544" max="1544" width="6.7109375" style="208" customWidth="1"/>
    <col min="1545" max="1545" width="6.28515625" style="208" customWidth="1"/>
    <col min="1546" max="1547" width="7" style="208" customWidth="1"/>
    <col min="1548" max="1548" width="6.5703125" style="208" customWidth="1"/>
    <col min="1549" max="1549" width="4.85546875" style="208" customWidth="1"/>
    <col min="1550" max="1550" width="7.28515625" style="208" customWidth="1"/>
    <col min="1551" max="1552" width="6.28515625" style="208" customWidth="1"/>
    <col min="1553" max="1553" width="5.42578125" style="208" customWidth="1"/>
    <col min="1554" max="1554" width="6.5703125" style="208" customWidth="1"/>
    <col min="1555" max="1555" width="5.140625" style="208" customWidth="1"/>
    <col min="1556" max="1556" width="5" style="208" customWidth="1"/>
    <col min="1557" max="1557" width="4.7109375" style="208" customWidth="1"/>
    <col min="1558" max="1558" width="5.140625" style="208" customWidth="1"/>
    <col min="1559" max="1559" width="5.7109375" style="208" customWidth="1"/>
    <col min="1560" max="1560" width="6.140625" style="208" customWidth="1"/>
    <col min="1561" max="1561" width="4.7109375" style="208" customWidth="1"/>
    <col min="1562" max="1562" width="5.140625" style="208" customWidth="1"/>
    <col min="1563" max="1563" width="5.5703125" style="208" customWidth="1"/>
    <col min="1564" max="1564" width="5.85546875" style="208" customWidth="1"/>
    <col min="1565" max="1565" width="5.42578125" style="208" customWidth="1"/>
    <col min="1566" max="1566" width="5.28515625" style="208" customWidth="1"/>
    <col min="1567" max="1792" width="9.140625" style="208"/>
    <col min="1793" max="1793" width="9.7109375" style="208" customWidth="1"/>
    <col min="1794" max="1794" width="29.42578125" style="208" customWidth="1"/>
    <col min="1795" max="1795" width="7.140625" style="208" customWidth="1"/>
    <col min="1796" max="1796" width="7.7109375" style="208" customWidth="1"/>
    <col min="1797" max="1797" width="5.5703125" style="208" customWidth="1"/>
    <col min="1798" max="1798" width="7.140625" style="208" customWidth="1"/>
    <col min="1799" max="1799" width="7" style="208" customWidth="1"/>
    <col min="1800" max="1800" width="6.7109375" style="208" customWidth="1"/>
    <col min="1801" max="1801" width="6.28515625" style="208" customWidth="1"/>
    <col min="1802" max="1803" width="7" style="208" customWidth="1"/>
    <col min="1804" max="1804" width="6.5703125" style="208" customWidth="1"/>
    <col min="1805" max="1805" width="4.85546875" style="208" customWidth="1"/>
    <col min="1806" max="1806" width="7.28515625" style="208" customWidth="1"/>
    <col min="1807" max="1808" width="6.28515625" style="208" customWidth="1"/>
    <col min="1809" max="1809" width="5.42578125" style="208" customWidth="1"/>
    <col min="1810" max="1810" width="6.5703125" style="208" customWidth="1"/>
    <col min="1811" max="1811" width="5.140625" style="208" customWidth="1"/>
    <col min="1812" max="1812" width="5" style="208" customWidth="1"/>
    <col min="1813" max="1813" width="4.7109375" style="208" customWidth="1"/>
    <col min="1814" max="1814" width="5.140625" style="208" customWidth="1"/>
    <col min="1815" max="1815" width="5.7109375" style="208" customWidth="1"/>
    <col min="1816" max="1816" width="6.140625" style="208" customWidth="1"/>
    <col min="1817" max="1817" width="4.7109375" style="208" customWidth="1"/>
    <col min="1818" max="1818" width="5.140625" style="208" customWidth="1"/>
    <col min="1819" max="1819" width="5.5703125" style="208" customWidth="1"/>
    <col min="1820" max="1820" width="5.85546875" style="208" customWidth="1"/>
    <col min="1821" max="1821" width="5.42578125" style="208" customWidth="1"/>
    <col min="1822" max="1822" width="5.28515625" style="208" customWidth="1"/>
    <col min="1823" max="2048" width="9.140625" style="208"/>
    <col min="2049" max="2049" width="9.7109375" style="208" customWidth="1"/>
    <col min="2050" max="2050" width="29.42578125" style="208" customWidth="1"/>
    <col min="2051" max="2051" width="7.140625" style="208" customWidth="1"/>
    <col min="2052" max="2052" width="7.7109375" style="208" customWidth="1"/>
    <col min="2053" max="2053" width="5.5703125" style="208" customWidth="1"/>
    <col min="2054" max="2054" width="7.140625" style="208" customWidth="1"/>
    <col min="2055" max="2055" width="7" style="208" customWidth="1"/>
    <col min="2056" max="2056" width="6.7109375" style="208" customWidth="1"/>
    <col min="2057" max="2057" width="6.28515625" style="208" customWidth="1"/>
    <col min="2058" max="2059" width="7" style="208" customWidth="1"/>
    <col min="2060" max="2060" width="6.5703125" style="208" customWidth="1"/>
    <col min="2061" max="2061" width="4.85546875" style="208" customWidth="1"/>
    <col min="2062" max="2062" width="7.28515625" style="208" customWidth="1"/>
    <col min="2063" max="2064" width="6.28515625" style="208" customWidth="1"/>
    <col min="2065" max="2065" width="5.42578125" style="208" customWidth="1"/>
    <col min="2066" max="2066" width="6.5703125" style="208" customWidth="1"/>
    <col min="2067" max="2067" width="5.140625" style="208" customWidth="1"/>
    <col min="2068" max="2068" width="5" style="208" customWidth="1"/>
    <col min="2069" max="2069" width="4.7109375" style="208" customWidth="1"/>
    <col min="2070" max="2070" width="5.140625" style="208" customWidth="1"/>
    <col min="2071" max="2071" width="5.7109375" style="208" customWidth="1"/>
    <col min="2072" max="2072" width="6.140625" style="208" customWidth="1"/>
    <col min="2073" max="2073" width="4.7109375" style="208" customWidth="1"/>
    <col min="2074" max="2074" width="5.140625" style="208" customWidth="1"/>
    <col min="2075" max="2075" width="5.5703125" style="208" customWidth="1"/>
    <col min="2076" max="2076" width="5.85546875" style="208" customWidth="1"/>
    <col min="2077" max="2077" width="5.42578125" style="208" customWidth="1"/>
    <col min="2078" max="2078" width="5.28515625" style="208" customWidth="1"/>
    <col min="2079" max="2304" width="9.140625" style="208"/>
    <col min="2305" max="2305" width="9.7109375" style="208" customWidth="1"/>
    <col min="2306" max="2306" width="29.42578125" style="208" customWidth="1"/>
    <col min="2307" max="2307" width="7.140625" style="208" customWidth="1"/>
    <col min="2308" max="2308" width="7.7109375" style="208" customWidth="1"/>
    <col min="2309" max="2309" width="5.5703125" style="208" customWidth="1"/>
    <col min="2310" max="2310" width="7.140625" style="208" customWidth="1"/>
    <col min="2311" max="2311" width="7" style="208" customWidth="1"/>
    <col min="2312" max="2312" width="6.7109375" style="208" customWidth="1"/>
    <col min="2313" max="2313" width="6.28515625" style="208" customWidth="1"/>
    <col min="2314" max="2315" width="7" style="208" customWidth="1"/>
    <col min="2316" max="2316" width="6.5703125" style="208" customWidth="1"/>
    <col min="2317" max="2317" width="4.85546875" style="208" customWidth="1"/>
    <col min="2318" max="2318" width="7.28515625" style="208" customWidth="1"/>
    <col min="2319" max="2320" width="6.28515625" style="208" customWidth="1"/>
    <col min="2321" max="2321" width="5.42578125" style="208" customWidth="1"/>
    <col min="2322" max="2322" width="6.5703125" style="208" customWidth="1"/>
    <col min="2323" max="2323" width="5.140625" style="208" customWidth="1"/>
    <col min="2324" max="2324" width="5" style="208" customWidth="1"/>
    <col min="2325" max="2325" width="4.7109375" style="208" customWidth="1"/>
    <col min="2326" max="2326" width="5.140625" style="208" customWidth="1"/>
    <col min="2327" max="2327" width="5.7109375" style="208" customWidth="1"/>
    <col min="2328" max="2328" width="6.140625" style="208" customWidth="1"/>
    <col min="2329" max="2329" width="4.7109375" style="208" customWidth="1"/>
    <col min="2330" max="2330" width="5.140625" style="208" customWidth="1"/>
    <col min="2331" max="2331" width="5.5703125" style="208" customWidth="1"/>
    <col min="2332" max="2332" width="5.85546875" style="208" customWidth="1"/>
    <col min="2333" max="2333" width="5.42578125" style="208" customWidth="1"/>
    <col min="2334" max="2334" width="5.28515625" style="208" customWidth="1"/>
    <col min="2335" max="2560" width="9.140625" style="208"/>
    <col min="2561" max="2561" width="9.7109375" style="208" customWidth="1"/>
    <col min="2562" max="2562" width="29.42578125" style="208" customWidth="1"/>
    <col min="2563" max="2563" width="7.140625" style="208" customWidth="1"/>
    <col min="2564" max="2564" width="7.7109375" style="208" customWidth="1"/>
    <col min="2565" max="2565" width="5.5703125" style="208" customWidth="1"/>
    <col min="2566" max="2566" width="7.140625" style="208" customWidth="1"/>
    <col min="2567" max="2567" width="7" style="208" customWidth="1"/>
    <col min="2568" max="2568" width="6.7109375" style="208" customWidth="1"/>
    <col min="2569" max="2569" width="6.28515625" style="208" customWidth="1"/>
    <col min="2570" max="2571" width="7" style="208" customWidth="1"/>
    <col min="2572" max="2572" width="6.5703125" style="208" customWidth="1"/>
    <col min="2573" max="2573" width="4.85546875" style="208" customWidth="1"/>
    <col min="2574" max="2574" width="7.28515625" style="208" customWidth="1"/>
    <col min="2575" max="2576" width="6.28515625" style="208" customWidth="1"/>
    <col min="2577" max="2577" width="5.42578125" style="208" customWidth="1"/>
    <col min="2578" max="2578" width="6.5703125" style="208" customWidth="1"/>
    <col min="2579" max="2579" width="5.140625" style="208" customWidth="1"/>
    <col min="2580" max="2580" width="5" style="208" customWidth="1"/>
    <col min="2581" max="2581" width="4.7109375" style="208" customWidth="1"/>
    <col min="2582" max="2582" width="5.140625" style="208" customWidth="1"/>
    <col min="2583" max="2583" width="5.7109375" style="208" customWidth="1"/>
    <col min="2584" max="2584" width="6.140625" style="208" customWidth="1"/>
    <col min="2585" max="2585" width="4.7109375" style="208" customWidth="1"/>
    <col min="2586" max="2586" width="5.140625" style="208" customWidth="1"/>
    <col min="2587" max="2587" width="5.5703125" style="208" customWidth="1"/>
    <col min="2588" max="2588" width="5.85546875" style="208" customWidth="1"/>
    <col min="2589" max="2589" width="5.42578125" style="208" customWidth="1"/>
    <col min="2590" max="2590" width="5.28515625" style="208" customWidth="1"/>
    <col min="2591" max="2816" width="9.140625" style="208"/>
    <col min="2817" max="2817" width="9.7109375" style="208" customWidth="1"/>
    <col min="2818" max="2818" width="29.42578125" style="208" customWidth="1"/>
    <col min="2819" max="2819" width="7.140625" style="208" customWidth="1"/>
    <col min="2820" max="2820" width="7.7109375" style="208" customWidth="1"/>
    <col min="2821" max="2821" width="5.5703125" style="208" customWidth="1"/>
    <col min="2822" max="2822" width="7.140625" style="208" customWidth="1"/>
    <col min="2823" max="2823" width="7" style="208" customWidth="1"/>
    <col min="2824" max="2824" width="6.7109375" style="208" customWidth="1"/>
    <col min="2825" max="2825" width="6.28515625" style="208" customWidth="1"/>
    <col min="2826" max="2827" width="7" style="208" customWidth="1"/>
    <col min="2828" max="2828" width="6.5703125" style="208" customWidth="1"/>
    <col min="2829" max="2829" width="4.85546875" style="208" customWidth="1"/>
    <col min="2830" max="2830" width="7.28515625" style="208" customWidth="1"/>
    <col min="2831" max="2832" width="6.28515625" style="208" customWidth="1"/>
    <col min="2833" max="2833" width="5.42578125" style="208" customWidth="1"/>
    <col min="2834" max="2834" width="6.5703125" style="208" customWidth="1"/>
    <col min="2835" max="2835" width="5.140625" style="208" customWidth="1"/>
    <col min="2836" max="2836" width="5" style="208" customWidth="1"/>
    <col min="2837" max="2837" width="4.7109375" style="208" customWidth="1"/>
    <col min="2838" max="2838" width="5.140625" style="208" customWidth="1"/>
    <col min="2839" max="2839" width="5.7109375" style="208" customWidth="1"/>
    <col min="2840" max="2840" width="6.140625" style="208" customWidth="1"/>
    <col min="2841" max="2841" width="4.7109375" style="208" customWidth="1"/>
    <col min="2842" max="2842" width="5.140625" style="208" customWidth="1"/>
    <col min="2843" max="2843" width="5.5703125" style="208" customWidth="1"/>
    <col min="2844" max="2844" width="5.85546875" style="208" customWidth="1"/>
    <col min="2845" max="2845" width="5.42578125" style="208" customWidth="1"/>
    <col min="2846" max="2846" width="5.28515625" style="208" customWidth="1"/>
    <col min="2847" max="3072" width="9.140625" style="208"/>
    <col min="3073" max="3073" width="9.7109375" style="208" customWidth="1"/>
    <col min="3074" max="3074" width="29.42578125" style="208" customWidth="1"/>
    <col min="3075" max="3075" width="7.140625" style="208" customWidth="1"/>
    <col min="3076" max="3076" width="7.7109375" style="208" customWidth="1"/>
    <col min="3077" max="3077" width="5.5703125" style="208" customWidth="1"/>
    <col min="3078" max="3078" width="7.140625" style="208" customWidth="1"/>
    <col min="3079" max="3079" width="7" style="208" customWidth="1"/>
    <col min="3080" max="3080" width="6.7109375" style="208" customWidth="1"/>
    <col min="3081" max="3081" width="6.28515625" style="208" customWidth="1"/>
    <col min="3082" max="3083" width="7" style="208" customWidth="1"/>
    <col min="3084" max="3084" width="6.5703125" style="208" customWidth="1"/>
    <col min="3085" max="3085" width="4.85546875" style="208" customWidth="1"/>
    <col min="3086" max="3086" width="7.28515625" style="208" customWidth="1"/>
    <col min="3087" max="3088" width="6.28515625" style="208" customWidth="1"/>
    <col min="3089" max="3089" width="5.42578125" style="208" customWidth="1"/>
    <col min="3090" max="3090" width="6.5703125" style="208" customWidth="1"/>
    <col min="3091" max="3091" width="5.140625" style="208" customWidth="1"/>
    <col min="3092" max="3092" width="5" style="208" customWidth="1"/>
    <col min="3093" max="3093" width="4.7109375" style="208" customWidth="1"/>
    <col min="3094" max="3094" width="5.140625" style="208" customWidth="1"/>
    <col min="3095" max="3095" width="5.7109375" style="208" customWidth="1"/>
    <col min="3096" max="3096" width="6.140625" style="208" customWidth="1"/>
    <col min="3097" max="3097" width="4.7109375" style="208" customWidth="1"/>
    <col min="3098" max="3098" width="5.140625" style="208" customWidth="1"/>
    <col min="3099" max="3099" width="5.5703125" style="208" customWidth="1"/>
    <col min="3100" max="3100" width="5.85546875" style="208" customWidth="1"/>
    <col min="3101" max="3101" width="5.42578125" style="208" customWidth="1"/>
    <col min="3102" max="3102" width="5.28515625" style="208" customWidth="1"/>
    <col min="3103" max="3328" width="9.140625" style="208"/>
    <col min="3329" max="3329" width="9.7109375" style="208" customWidth="1"/>
    <col min="3330" max="3330" width="29.42578125" style="208" customWidth="1"/>
    <col min="3331" max="3331" width="7.140625" style="208" customWidth="1"/>
    <col min="3332" max="3332" width="7.7109375" style="208" customWidth="1"/>
    <col min="3333" max="3333" width="5.5703125" style="208" customWidth="1"/>
    <col min="3334" max="3334" width="7.140625" style="208" customWidth="1"/>
    <col min="3335" max="3335" width="7" style="208" customWidth="1"/>
    <col min="3336" max="3336" width="6.7109375" style="208" customWidth="1"/>
    <col min="3337" max="3337" width="6.28515625" style="208" customWidth="1"/>
    <col min="3338" max="3339" width="7" style="208" customWidth="1"/>
    <col min="3340" max="3340" width="6.5703125" style="208" customWidth="1"/>
    <col min="3341" max="3341" width="4.85546875" style="208" customWidth="1"/>
    <col min="3342" max="3342" width="7.28515625" style="208" customWidth="1"/>
    <col min="3343" max="3344" width="6.28515625" style="208" customWidth="1"/>
    <col min="3345" max="3345" width="5.42578125" style="208" customWidth="1"/>
    <col min="3346" max="3346" width="6.5703125" style="208" customWidth="1"/>
    <col min="3347" max="3347" width="5.140625" style="208" customWidth="1"/>
    <col min="3348" max="3348" width="5" style="208" customWidth="1"/>
    <col min="3349" max="3349" width="4.7109375" style="208" customWidth="1"/>
    <col min="3350" max="3350" width="5.140625" style="208" customWidth="1"/>
    <col min="3351" max="3351" width="5.7109375" style="208" customWidth="1"/>
    <col min="3352" max="3352" width="6.140625" style="208" customWidth="1"/>
    <col min="3353" max="3353" width="4.7109375" style="208" customWidth="1"/>
    <col min="3354" max="3354" width="5.140625" style="208" customWidth="1"/>
    <col min="3355" max="3355" width="5.5703125" style="208" customWidth="1"/>
    <col min="3356" max="3356" width="5.85546875" style="208" customWidth="1"/>
    <col min="3357" max="3357" width="5.42578125" style="208" customWidth="1"/>
    <col min="3358" max="3358" width="5.28515625" style="208" customWidth="1"/>
    <col min="3359" max="3584" width="9.140625" style="208"/>
    <col min="3585" max="3585" width="9.7109375" style="208" customWidth="1"/>
    <col min="3586" max="3586" width="29.42578125" style="208" customWidth="1"/>
    <col min="3587" max="3587" width="7.140625" style="208" customWidth="1"/>
    <col min="3588" max="3588" width="7.7109375" style="208" customWidth="1"/>
    <col min="3589" max="3589" width="5.5703125" style="208" customWidth="1"/>
    <col min="3590" max="3590" width="7.140625" style="208" customWidth="1"/>
    <col min="3591" max="3591" width="7" style="208" customWidth="1"/>
    <col min="3592" max="3592" width="6.7109375" style="208" customWidth="1"/>
    <col min="3593" max="3593" width="6.28515625" style="208" customWidth="1"/>
    <col min="3594" max="3595" width="7" style="208" customWidth="1"/>
    <col min="3596" max="3596" width="6.5703125" style="208" customWidth="1"/>
    <col min="3597" max="3597" width="4.85546875" style="208" customWidth="1"/>
    <col min="3598" max="3598" width="7.28515625" style="208" customWidth="1"/>
    <col min="3599" max="3600" width="6.28515625" style="208" customWidth="1"/>
    <col min="3601" max="3601" width="5.42578125" style="208" customWidth="1"/>
    <col min="3602" max="3602" width="6.5703125" style="208" customWidth="1"/>
    <col min="3603" max="3603" width="5.140625" style="208" customWidth="1"/>
    <col min="3604" max="3604" width="5" style="208" customWidth="1"/>
    <col min="3605" max="3605" width="4.7109375" style="208" customWidth="1"/>
    <col min="3606" max="3606" width="5.140625" style="208" customWidth="1"/>
    <col min="3607" max="3607" width="5.7109375" style="208" customWidth="1"/>
    <col min="3608" max="3608" width="6.140625" style="208" customWidth="1"/>
    <col min="3609" max="3609" width="4.7109375" style="208" customWidth="1"/>
    <col min="3610" max="3610" width="5.140625" style="208" customWidth="1"/>
    <col min="3611" max="3611" width="5.5703125" style="208" customWidth="1"/>
    <col min="3612" max="3612" width="5.85546875" style="208" customWidth="1"/>
    <col min="3613" max="3613" width="5.42578125" style="208" customWidth="1"/>
    <col min="3614" max="3614" width="5.28515625" style="208" customWidth="1"/>
    <col min="3615" max="3840" width="9.140625" style="208"/>
    <col min="3841" max="3841" width="9.7109375" style="208" customWidth="1"/>
    <col min="3842" max="3842" width="29.42578125" style="208" customWidth="1"/>
    <col min="3843" max="3843" width="7.140625" style="208" customWidth="1"/>
    <col min="3844" max="3844" width="7.7109375" style="208" customWidth="1"/>
    <col min="3845" max="3845" width="5.5703125" style="208" customWidth="1"/>
    <col min="3846" max="3846" width="7.140625" style="208" customWidth="1"/>
    <col min="3847" max="3847" width="7" style="208" customWidth="1"/>
    <col min="3848" max="3848" width="6.7109375" style="208" customWidth="1"/>
    <col min="3849" max="3849" width="6.28515625" style="208" customWidth="1"/>
    <col min="3850" max="3851" width="7" style="208" customWidth="1"/>
    <col min="3852" max="3852" width="6.5703125" style="208" customWidth="1"/>
    <col min="3853" max="3853" width="4.85546875" style="208" customWidth="1"/>
    <col min="3854" max="3854" width="7.28515625" style="208" customWidth="1"/>
    <col min="3855" max="3856" width="6.28515625" style="208" customWidth="1"/>
    <col min="3857" max="3857" width="5.42578125" style="208" customWidth="1"/>
    <col min="3858" max="3858" width="6.5703125" style="208" customWidth="1"/>
    <col min="3859" max="3859" width="5.140625" style="208" customWidth="1"/>
    <col min="3860" max="3860" width="5" style="208" customWidth="1"/>
    <col min="3861" max="3861" width="4.7109375" style="208" customWidth="1"/>
    <col min="3862" max="3862" width="5.140625" style="208" customWidth="1"/>
    <col min="3863" max="3863" width="5.7109375" style="208" customWidth="1"/>
    <col min="3864" max="3864" width="6.140625" style="208" customWidth="1"/>
    <col min="3865" max="3865" width="4.7109375" style="208" customWidth="1"/>
    <col min="3866" max="3866" width="5.140625" style="208" customWidth="1"/>
    <col min="3867" max="3867" width="5.5703125" style="208" customWidth="1"/>
    <col min="3868" max="3868" width="5.85546875" style="208" customWidth="1"/>
    <col min="3869" max="3869" width="5.42578125" style="208" customWidth="1"/>
    <col min="3870" max="3870" width="5.28515625" style="208" customWidth="1"/>
    <col min="3871" max="4096" width="9.140625" style="208"/>
    <col min="4097" max="4097" width="9.7109375" style="208" customWidth="1"/>
    <col min="4098" max="4098" width="29.42578125" style="208" customWidth="1"/>
    <col min="4099" max="4099" width="7.140625" style="208" customWidth="1"/>
    <col min="4100" max="4100" width="7.7109375" style="208" customWidth="1"/>
    <col min="4101" max="4101" width="5.5703125" style="208" customWidth="1"/>
    <col min="4102" max="4102" width="7.140625" style="208" customWidth="1"/>
    <col min="4103" max="4103" width="7" style="208" customWidth="1"/>
    <col min="4104" max="4104" width="6.7109375" style="208" customWidth="1"/>
    <col min="4105" max="4105" width="6.28515625" style="208" customWidth="1"/>
    <col min="4106" max="4107" width="7" style="208" customWidth="1"/>
    <col min="4108" max="4108" width="6.5703125" style="208" customWidth="1"/>
    <col min="4109" max="4109" width="4.85546875" style="208" customWidth="1"/>
    <col min="4110" max="4110" width="7.28515625" style="208" customWidth="1"/>
    <col min="4111" max="4112" width="6.28515625" style="208" customWidth="1"/>
    <col min="4113" max="4113" width="5.42578125" style="208" customWidth="1"/>
    <col min="4114" max="4114" width="6.5703125" style="208" customWidth="1"/>
    <col min="4115" max="4115" width="5.140625" style="208" customWidth="1"/>
    <col min="4116" max="4116" width="5" style="208" customWidth="1"/>
    <col min="4117" max="4117" width="4.7109375" style="208" customWidth="1"/>
    <col min="4118" max="4118" width="5.140625" style="208" customWidth="1"/>
    <col min="4119" max="4119" width="5.7109375" style="208" customWidth="1"/>
    <col min="4120" max="4120" width="6.140625" style="208" customWidth="1"/>
    <col min="4121" max="4121" width="4.7109375" style="208" customWidth="1"/>
    <col min="4122" max="4122" width="5.140625" style="208" customWidth="1"/>
    <col min="4123" max="4123" width="5.5703125" style="208" customWidth="1"/>
    <col min="4124" max="4124" width="5.85546875" style="208" customWidth="1"/>
    <col min="4125" max="4125" width="5.42578125" style="208" customWidth="1"/>
    <col min="4126" max="4126" width="5.28515625" style="208" customWidth="1"/>
    <col min="4127" max="4352" width="9.140625" style="208"/>
    <col min="4353" max="4353" width="9.7109375" style="208" customWidth="1"/>
    <col min="4354" max="4354" width="29.42578125" style="208" customWidth="1"/>
    <col min="4355" max="4355" width="7.140625" style="208" customWidth="1"/>
    <col min="4356" max="4356" width="7.7109375" style="208" customWidth="1"/>
    <col min="4357" max="4357" width="5.5703125" style="208" customWidth="1"/>
    <col min="4358" max="4358" width="7.140625" style="208" customWidth="1"/>
    <col min="4359" max="4359" width="7" style="208" customWidth="1"/>
    <col min="4360" max="4360" width="6.7109375" style="208" customWidth="1"/>
    <col min="4361" max="4361" width="6.28515625" style="208" customWidth="1"/>
    <col min="4362" max="4363" width="7" style="208" customWidth="1"/>
    <col min="4364" max="4364" width="6.5703125" style="208" customWidth="1"/>
    <col min="4365" max="4365" width="4.85546875" style="208" customWidth="1"/>
    <col min="4366" max="4366" width="7.28515625" style="208" customWidth="1"/>
    <col min="4367" max="4368" width="6.28515625" style="208" customWidth="1"/>
    <col min="4369" max="4369" width="5.42578125" style="208" customWidth="1"/>
    <col min="4370" max="4370" width="6.5703125" style="208" customWidth="1"/>
    <col min="4371" max="4371" width="5.140625" style="208" customWidth="1"/>
    <col min="4372" max="4372" width="5" style="208" customWidth="1"/>
    <col min="4373" max="4373" width="4.7109375" style="208" customWidth="1"/>
    <col min="4374" max="4374" width="5.140625" style="208" customWidth="1"/>
    <col min="4375" max="4375" width="5.7109375" style="208" customWidth="1"/>
    <col min="4376" max="4376" width="6.140625" style="208" customWidth="1"/>
    <col min="4377" max="4377" width="4.7109375" style="208" customWidth="1"/>
    <col min="4378" max="4378" width="5.140625" style="208" customWidth="1"/>
    <col min="4379" max="4379" width="5.5703125" style="208" customWidth="1"/>
    <col min="4380" max="4380" width="5.85546875" style="208" customWidth="1"/>
    <col min="4381" max="4381" width="5.42578125" style="208" customWidth="1"/>
    <col min="4382" max="4382" width="5.28515625" style="208" customWidth="1"/>
    <col min="4383" max="4608" width="9.140625" style="208"/>
    <col min="4609" max="4609" width="9.7109375" style="208" customWidth="1"/>
    <col min="4610" max="4610" width="29.42578125" style="208" customWidth="1"/>
    <col min="4611" max="4611" width="7.140625" style="208" customWidth="1"/>
    <col min="4612" max="4612" width="7.7109375" style="208" customWidth="1"/>
    <col min="4613" max="4613" width="5.5703125" style="208" customWidth="1"/>
    <col min="4614" max="4614" width="7.140625" style="208" customWidth="1"/>
    <col min="4615" max="4615" width="7" style="208" customWidth="1"/>
    <col min="4616" max="4616" width="6.7109375" style="208" customWidth="1"/>
    <col min="4617" max="4617" width="6.28515625" style="208" customWidth="1"/>
    <col min="4618" max="4619" width="7" style="208" customWidth="1"/>
    <col min="4620" max="4620" width="6.5703125" style="208" customWidth="1"/>
    <col min="4621" max="4621" width="4.85546875" style="208" customWidth="1"/>
    <col min="4622" max="4622" width="7.28515625" style="208" customWidth="1"/>
    <col min="4623" max="4624" width="6.28515625" style="208" customWidth="1"/>
    <col min="4625" max="4625" width="5.42578125" style="208" customWidth="1"/>
    <col min="4626" max="4626" width="6.5703125" style="208" customWidth="1"/>
    <col min="4627" max="4627" width="5.140625" style="208" customWidth="1"/>
    <col min="4628" max="4628" width="5" style="208" customWidth="1"/>
    <col min="4629" max="4629" width="4.7109375" style="208" customWidth="1"/>
    <col min="4630" max="4630" width="5.140625" style="208" customWidth="1"/>
    <col min="4631" max="4631" width="5.7109375" style="208" customWidth="1"/>
    <col min="4632" max="4632" width="6.140625" style="208" customWidth="1"/>
    <col min="4633" max="4633" width="4.7109375" style="208" customWidth="1"/>
    <col min="4634" max="4634" width="5.140625" style="208" customWidth="1"/>
    <col min="4635" max="4635" width="5.5703125" style="208" customWidth="1"/>
    <col min="4636" max="4636" width="5.85546875" style="208" customWidth="1"/>
    <col min="4637" max="4637" width="5.42578125" style="208" customWidth="1"/>
    <col min="4638" max="4638" width="5.28515625" style="208" customWidth="1"/>
    <col min="4639" max="4864" width="9.140625" style="208"/>
    <col min="4865" max="4865" width="9.7109375" style="208" customWidth="1"/>
    <col min="4866" max="4866" width="29.42578125" style="208" customWidth="1"/>
    <col min="4867" max="4867" width="7.140625" style="208" customWidth="1"/>
    <col min="4868" max="4868" width="7.7109375" style="208" customWidth="1"/>
    <col min="4869" max="4869" width="5.5703125" style="208" customWidth="1"/>
    <col min="4870" max="4870" width="7.140625" style="208" customWidth="1"/>
    <col min="4871" max="4871" width="7" style="208" customWidth="1"/>
    <col min="4872" max="4872" width="6.7109375" style="208" customWidth="1"/>
    <col min="4873" max="4873" width="6.28515625" style="208" customWidth="1"/>
    <col min="4874" max="4875" width="7" style="208" customWidth="1"/>
    <col min="4876" max="4876" width="6.5703125" style="208" customWidth="1"/>
    <col min="4877" max="4877" width="4.85546875" style="208" customWidth="1"/>
    <col min="4878" max="4878" width="7.28515625" style="208" customWidth="1"/>
    <col min="4879" max="4880" width="6.28515625" style="208" customWidth="1"/>
    <col min="4881" max="4881" width="5.42578125" style="208" customWidth="1"/>
    <col min="4882" max="4882" width="6.5703125" style="208" customWidth="1"/>
    <col min="4883" max="4883" width="5.140625" style="208" customWidth="1"/>
    <col min="4884" max="4884" width="5" style="208" customWidth="1"/>
    <col min="4885" max="4885" width="4.7109375" style="208" customWidth="1"/>
    <col min="4886" max="4886" width="5.140625" style="208" customWidth="1"/>
    <col min="4887" max="4887" width="5.7109375" style="208" customWidth="1"/>
    <col min="4888" max="4888" width="6.140625" style="208" customWidth="1"/>
    <col min="4889" max="4889" width="4.7109375" style="208" customWidth="1"/>
    <col min="4890" max="4890" width="5.140625" style="208" customWidth="1"/>
    <col min="4891" max="4891" width="5.5703125" style="208" customWidth="1"/>
    <col min="4892" max="4892" width="5.85546875" style="208" customWidth="1"/>
    <col min="4893" max="4893" width="5.42578125" style="208" customWidth="1"/>
    <col min="4894" max="4894" width="5.28515625" style="208" customWidth="1"/>
    <col min="4895" max="5120" width="9.140625" style="208"/>
    <col min="5121" max="5121" width="9.7109375" style="208" customWidth="1"/>
    <col min="5122" max="5122" width="29.42578125" style="208" customWidth="1"/>
    <col min="5123" max="5123" width="7.140625" style="208" customWidth="1"/>
    <col min="5124" max="5124" width="7.7109375" style="208" customWidth="1"/>
    <col min="5125" max="5125" width="5.5703125" style="208" customWidth="1"/>
    <col min="5126" max="5126" width="7.140625" style="208" customWidth="1"/>
    <col min="5127" max="5127" width="7" style="208" customWidth="1"/>
    <col min="5128" max="5128" width="6.7109375" style="208" customWidth="1"/>
    <col min="5129" max="5129" width="6.28515625" style="208" customWidth="1"/>
    <col min="5130" max="5131" width="7" style="208" customWidth="1"/>
    <col min="5132" max="5132" width="6.5703125" style="208" customWidth="1"/>
    <col min="5133" max="5133" width="4.85546875" style="208" customWidth="1"/>
    <col min="5134" max="5134" width="7.28515625" style="208" customWidth="1"/>
    <col min="5135" max="5136" width="6.28515625" style="208" customWidth="1"/>
    <col min="5137" max="5137" width="5.42578125" style="208" customWidth="1"/>
    <col min="5138" max="5138" width="6.5703125" style="208" customWidth="1"/>
    <col min="5139" max="5139" width="5.140625" style="208" customWidth="1"/>
    <col min="5140" max="5140" width="5" style="208" customWidth="1"/>
    <col min="5141" max="5141" width="4.7109375" style="208" customWidth="1"/>
    <col min="5142" max="5142" width="5.140625" style="208" customWidth="1"/>
    <col min="5143" max="5143" width="5.7109375" style="208" customWidth="1"/>
    <col min="5144" max="5144" width="6.140625" style="208" customWidth="1"/>
    <col min="5145" max="5145" width="4.7109375" style="208" customWidth="1"/>
    <col min="5146" max="5146" width="5.140625" style="208" customWidth="1"/>
    <col min="5147" max="5147" width="5.5703125" style="208" customWidth="1"/>
    <col min="5148" max="5148" width="5.85546875" style="208" customWidth="1"/>
    <col min="5149" max="5149" width="5.42578125" style="208" customWidth="1"/>
    <col min="5150" max="5150" width="5.28515625" style="208" customWidth="1"/>
    <col min="5151" max="5376" width="9.140625" style="208"/>
    <col min="5377" max="5377" width="9.7109375" style="208" customWidth="1"/>
    <col min="5378" max="5378" width="29.42578125" style="208" customWidth="1"/>
    <col min="5379" max="5379" width="7.140625" style="208" customWidth="1"/>
    <col min="5380" max="5380" width="7.7109375" style="208" customWidth="1"/>
    <col min="5381" max="5381" width="5.5703125" style="208" customWidth="1"/>
    <col min="5382" max="5382" width="7.140625" style="208" customWidth="1"/>
    <col min="5383" max="5383" width="7" style="208" customWidth="1"/>
    <col min="5384" max="5384" width="6.7109375" style="208" customWidth="1"/>
    <col min="5385" max="5385" width="6.28515625" style="208" customWidth="1"/>
    <col min="5386" max="5387" width="7" style="208" customWidth="1"/>
    <col min="5388" max="5388" width="6.5703125" style="208" customWidth="1"/>
    <col min="5389" max="5389" width="4.85546875" style="208" customWidth="1"/>
    <col min="5390" max="5390" width="7.28515625" style="208" customWidth="1"/>
    <col min="5391" max="5392" width="6.28515625" style="208" customWidth="1"/>
    <col min="5393" max="5393" width="5.42578125" style="208" customWidth="1"/>
    <col min="5394" max="5394" width="6.5703125" style="208" customWidth="1"/>
    <col min="5395" max="5395" width="5.140625" style="208" customWidth="1"/>
    <col min="5396" max="5396" width="5" style="208" customWidth="1"/>
    <col min="5397" max="5397" width="4.7109375" style="208" customWidth="1"/>
    <col min="5398" max="5398" width="5.140625" style="208" customWidth="1"/>
    <col min="5399" max="5399" width="5.7109375" style="208" customWidth="1"/>
    <col min="5400" max="5400" width="6.140625" style="208" customWidth="1"/>
    <col min="5401" max="5401" width="4.7109375" style="208" customWidth="1"/>
    <col min="5402" max="5402" width="5.140625" style="208" customWidth="1"/>
    <col min="5403" max="5403" width="5.5703125" style="208" customWidth="1"/>
    <col min="5404" max="5404" width="5.85546875" style="208" customWidth="1"/>
    <col min="5405" max="5405" width="5.42578125" style="208" customWidth="1"/>
    <col min="5406" max="5406" width="5.28515625" style="208" customWidth="1"/>
    <col min="5407" max="5632" width="9.140625" style="208"/>
    <col min="5633" max="5633" width="9.7109375" style="208" customWidth="1"/>
    <col min="5634" max="5634" width="29.42578125" style="208" customWidth="1"/>
    <col min="5635" max="5635" width="7.140625" style="208" customWidth="1"/>
    <col min="5636" max="5636" width="7.7109375" style="208" customWidth="1"/>
    <col min="5637" max="5637" width="5.5703125" style="208" customWidth="1"/>
    <col min="5638" max="5638" width="7.140625" style="208" customWidth="1"/>
    <col min="5639" max="5639" width="7" style="208" customWidth="1"/>
    <col min="5640" max="5640" width="6.7109375" style="208" customWidth="1"/>
    <col min="5641" max="5641" width="6.28515625" style="208" customWidth="1"/>
    <col min="5642" max="5643" width="7" style="208" customWidth="1"/>
    <col min="5644" max="5644" width="6.5703125" style="208" customWidth="1"/>
    <col min="5645" max="5645" width="4.85546875" style="208" customWidth="1"/>
    <col min="5646" max="5646" width="7.28515625" style="208" customWidth="1"/>
    <col min="5647" max="5648" width="6.28515625" style="208" customWidth="1"/>
    <col min="5649" max="5649" width="5.42578125" style="208" customWidth="1"/>
    <col min="5650" max="5650" width="6.5703125" style="208" customWidth="1"/>
    <col min="5651" max="5651" width="5.140625" style="208" customWidth="1"/>
    <col min="5652" max="5652" width="5" style="208" customWidth="1"/>
    <col min="5653" max="5653" width="4.7109375" style="208" customWidth="1"/>
    <col min="5654" max="5654" width="5.140625" style="208" customWidth="1"/>
    <col min="5655" max="5655" width="5.7109375" style="208" customWidth="1"/>
    <col min="5656" max="5656" width="6.140625" style="208" customWidth="1"/>
    <col min="5657" max="5657" width="4.7109375" style="208" customWidth="1"/>
    <col min="5658" max="5658" width="5.140625" style="208" customWidth="1"/>
    <col min="5659" max="5659" width="5.5703125" style="208" customWidth="1"/>
    <col min="5660" max="5660" width="5.85546875" style="208" customWidth="1"/>
    <col min="5661" max="5661" width="5.42578125" style="208" customWidth="1"/>
    <col min="5662" max="5662" width="5.28515625" style="208" customWidth="1"/>
    <col min="5663" max="5888" width="9.140625" style="208"/>
    <col min="5889" max="5889" width="9.7109375" style="208" customWidth="1"/>
    <col min="5890" max="5890" width="29.42578125" style="208" customWidth="1"/>
    <col min="5891" max="5891" width="7.140625" style="208" customWidth="1"/>
    <col min="5892" max="5892" width="7.7109375" style="208" customWidth="1"/>
    <col min="5893" max="5893" width="5.5703125" style="208" customWidth="1"/>
    <col min="5894" max="5894" width="7.140625" style="208" customWidth="1"/>
    <col min="5895" max="5895" width="7" style="208" customWidth="1"/>
    <col min="5896" max="5896" width="6.7109375" style="208" customWidth="1"/>
    <col min="5897" max="5897" width="6.28515625" style="208" customWidth="1"/>
    <col min="5898" max="5899" width="7" style="208" customWidth="1"/>
    <col min="5900" max="5900" width="6.5703125" style="208" customWidth="1"/>
    <col min="5901" max="5901" width="4.85546875" style="208" customWidth="1"/>
    <col min="5902" max="5902" width="7.28515625" style="208" customWidth="1"/>
    <col min="5903" max="5904" width="6.28515625" style="208" customWidth="1"/>
    <col min="5905" max="5905" width="5.42578125" style="208" customWidth="1"/>
    <col min="5906" max="5906" width="6.5703125" style="208" customWidth="1"/>
    <col min="5907" max="5907" width="5.140625" style="208" customWidth="1"/>
    <col min="5908" max="5908" width="5" style="208" customWidth="1"/>
    <col min="5909" max="5909" width="4.7109375" style="208" customWidth="1"/>
    <col min="5910" max="5910" width="5.140625" style="208" customWidth="1"/>
    <col min="5911" max="5911" width="5.7109375" style="208" customWidth="1"/>
    <col min="5912" max="5912" width="6.140625" style="208" customWidth="1"/>
    <col min="5913" max="5913" width="4.7109375" style="208" customWidth="1"/>
    <col min="5914" max="5914" width="5.140625" style="208" customWidth="1"/>
    <col min="5915" max="5915" width="5.5703125" style="208" customWidth="1"/>
    <col min="5916" max="5916" width="5.85546875" style="208" customWidth="1"/>
    <col min="5917" max="5917" width="5.42578125" style="208" customWidth="1"/>
    <col min="5918" max="5918" width="5.28515625" style="208" customWidth="1"/>
    <col min="5919" max="6144" width="9.140625" style="208"/>
    <col min="6145" max="6145" width="9.7109375" style="208" customWidth="1"/>
    <col min="6146" max="6146" width="29.42578125" style="208" customWidth="1"/>
    <col min="6147" max="6147" width="7.140625" style="208" customWidth="1"/>
    <col min="6148" max="6148" width="7.7109375" style="208" customWidth="1"/>
    <col min="6149" max="6149" width="5.5703125" style="208" customWidth="1"/>
    <col min="6150" max="6150" width="7.140625" style="208" customWidth="1"/>
    <col min="6151" max="6151" width="7" style="208" customWidth="1"/>
    <col min="6152" max="6152" width="6.7109375" style="208" customWidth="1"/>
    <col min="6153" max="6153" width="6.28515625" style="208" customWidth="1"/>
    <col min="6154" max="6155" width="7" style="208" customWidth="1"/>
    <col min="6156" max="6156" width="6.5703125" style="208" customWidth="1"/>
    <col min="6157" max="6157" width="4.85546875" style="208" customWidth="1"/>
    <col min="6158" max="6158" width="7.28515625" style="208" customWidth="1"/>
    <col min="6159" max="6160" width="6.28515625" style="208" customWidth="1"/>
    <col min="6161" max="6161" width="5.42578125" style="208" customWidth="1"/>
    <col min="6162" max="6162" width="6.5703125" style="208" customWidth="1"/>
    <col min="6163" max="6163" width="5.140625" style="208" customWidth="1"/>
    <col min="6164" max="6164" width="5" style="208" customWidth="1"/>
    <col min="6165" max="6165" width="4.7109375" style="208" customWidth="1"/>
    <col min="6166" max="6166" width="5.140625" style="208" customWidth="1"/>
    <col min="6167" max="6167" width="5.7109375" style="208" customWidth="1"/>
    <col min="6168" max="6168" width="6.140625" style="208" customWidth="1"/>
    <col min="6169" max="6169" width="4.7109375" style="208" customWidth="1"/>
    <col min="6170" max="6170" width="5.140625" style="208" customWidth="1"/>
    <col min="6171" max="6171" width="5.5703125" style="208" customWidth="1"/>
    <col min="6172" max="6172" width="5.85546875" style="208" customWidth="1"/>
    <col min="6173" max="6173" width="5.42578125" style="208" customWidth="1"/>
    <col min="6174" max="6174" width="5.28515625" style="208" customWidth="1"/>
    <col min="6175" max="6400" width="9.140625" style="208"/>
    <col min="6401" max="6401" width="9.7109375" style="208" customWidth="1"/>
    <col min="6402" max="6402" width="29.42578125" style="208" customWidth="1"/>
    <col min="6403" max="6403" width="7.140625" style="208" customWidth="1"/>
    <col min="6404" max="6404" width="7.7109375" style="208" customWidth="1"/>
    <col min="6405" max="6405" width="5.5703125" style="208" customWidth="1"/>
    <col min="6406" max="6406" width="7.140625" style="208" customWidth="1"/>
    <col min="6407" max="6407" width="7" style="208" customWidth="1"/>
    <col min="6408" max="6408" width="6.7109375" style="208" customWidth="1"/>
    <col min="6409" max="6409" width="6.28515625" style="208" customWidth="1"/>
    <col min="6410" max="6411" width="7" style="208" customWidth="1"/>
    <col min="6412" max="6412" width="6.5703125" style="208" customWidth="1"/>
    <col min="6413" max="6413" width="4.85546875" style="208" customWidth="1"/>
    <col min="6414" max="6414" width="7.28515625" style="208" customWidth="1"/>
    <col min="6415" max="6416" width="6.28515625" style="208" customWidth="1"/>
    <col min="6417" max="6417" width="5.42578125" style="208" customWidth="1"/>
    <col min="6418" max="6418" width="6.5703125" style="208" customWidth="1"/>
    <col min="6419" max="6419" width="5.140625" style="208" customWidth="1"/>
    <col min="6420" max="6420" width="5" style="208" customWidth="1"/>
    <col min="6421" max="6421" width="4.7109375" style="208" customWidth="1"/>
    <col min="6422" max="6422" width="5.140625" style="208" customWidth="1"/>
    <col min="6423" max="6423" width="5.7109375" style="208" customWidth="1"/>
    <col min="6424" max="6424" width="6.140625" style="208" customWidth="1"/>
    <col min="6425" max="6425" width="4.7109375" style="208" customWidth="1"/>
    <col min="6426" max="6426" width="5.140625" style="208" customWidth="1"/>
    <col min="6427" max="6427" width="5.5703125" style="208" customWidth="1"/>
    <col min="6428" max="6428" width="5.85546875" style="208" customWidth="1"/>
    <col min="6429" max="6429" width="5.42578125" style="208" customWidth="1"/>
    <col min="6430" max="6430" width="5.28515625" style="208" customWidth="1"/>
    <col min="6431" max="6656" width="9.140625" style="208"/>
    <col min="6657" max="6657" width="9.7109375" style="208" customWidth="1"/>
    <col min="6658" max="6658" width="29.42578125" style="208" customWidth="1"/>
    <col min="6659" max="6659" width="7.140625" style="208" customWidth="1"/>
    <col min="6660" max="6660" width="7.7109375" style="208" customWidth="1"/>
    <col min="6661" max="6661" width="5.5703125" style="208" customWidth="1"/>
    <col min="6662" max="6662" width="7.140625" style="208" customWidth="1"/>
    <col min="6663" max="6663" width="7" style="208" customWidth="1"/>
    <col min="6664" max="6664" width="6.7109375" style="208" customWidth="1"/>
    <col min="6665" max="6665" width="6.28515625" style="208" customWidth="1"/>
    <col min="6666" max="6667" width="7" style="208" customWidth="1"/>
    <col min="6668" max="6668" width="6.5703125" style="208" customWidth="1"/>
    <col min="6669" max="6669" width="4.85546875" style="208" customWidth="1"/>
    <col min="6670" max="6670" width="7.28515625" style="208" customWidth="1"/>
    <col min="6671" max="6672" width="6.28515625" style="208" customWidth="1"/>
    <col min="6673" max="6673" width="5.42578125" style="208" customWidth="1"/>
    <col min="6674" max="6674" width="6.5703125" style="208" customWidth="1"/>
    <col min="6675" max="6675" width="5.140625" style="208" customWidth="1"/>
    <col min="6676" max="6676" width="5" style="208" customWidth="1"/>
    <col min="6677" max="6677" width="4.7109375" style="208" customWidth="1"/>
    <col min="6678" max="6678" width="5.140625" style="208" customWidth="1"/>
    <col min="6679" max="6679" width="5.7109375" style="208" customWidth="1"/>
    <col min="6680" max="6680" width="6.140625" style="208" customWidth="1"/>
    <col min="6681" max="6681" width="4.7109375" style="208" customWidth="1"/>
    <col min="6682" max="6682" width="5.140625" style="208" customWidth="1"/>
    <col min="6683" max="6683" width="5.5703125" style="208" customWidth="1"/>
    <col min="6684" max="6684" width="5.85546875" style="208" customWidth="1"/>
    <col min="6685" max="6685" width="5.42578125" style="208" customWidth="1"/>
    <col min="6686" max="6686" width="5.28515625" style="208" customWidth="1"/>
    <col min="6687" max="6912" width="9.140625" style="208"/>
    <col min="6913" max="6913" width="9.7109375" style="208" customWidth="1"/>
    <col min="6914" max="6914" width="29.42578125" style="208" customWidth="1"/>
    <col min="6915" max="6915" width="7.140625" style="208" customWidth="1"/>
    <col min="6916" max="6916" width="7.7109375" style="208" customWidth="1"/>
    <col min="6917" max="6917" width="5.5703125" style="208" customWidth="1"/>
    <col min="6918" max="6918" width="7.140625" style="208" customWidth="1"/>
    <col min="6919" max="6919" width="7" style="208" customWidth="1"/>
    <col min="6920" max="6920" width="6.7109375" style="208" customWidth="1"/>
    <col min="6921" max="6921" width="6.28515625" style="208" customWidth="1"/>
    <col min="6922" max="6923" width="7" style="208" customWidth="1"/>
    <col min="6924" max="6924" width="6.5703125" style="208" customWidth="1"/>
    <col min="6925" max="6925" width="4.85546875" style="208" customWidth="1"/>
    <col min="6926" max="6926" width="7.28515625" style="208" customWidth="1"/>
    <col min="6927" max="6928" width="6.28515625" style="208" customWidth="1"/>
    <col min="6929" max="6929" width="5.42578125" style="208" customWidth="1"/>
    <col min="6930" max="6930" width="6.5703125" style="208" customWidth="1"/>
    <col min="6931" max="6931" width="5.140625" style="208" customWidth="1"/>
    <col min="6932" max="6932" width="5" style="208" customWidth="1"/>
    <col min="6933" max="6933" width="4.7109375" style="208" customWidth="1"/>
    <col min="6934" max="6934" width="5.140625" style="208" customWidth="1"/>
    <col min="6935" max="6935" width="5.7109375" style="208" customWidth="1"/>
    <col min="6936" max="6936" width="6.140625" style="208" customWidth="1"/>
    <col min="6937" max="6937" width="4.7109375" style="208" customWidth="1"/>
    <col min="6938" max="6938" width="5.140625" style="208" customWidth="1"/>
    <col min="6939" max="6939" width="5.5703125" style="208" customWidth="1"/>
    <col min="6940" max="6940" width="5.85546875" style="208" customWidth="1"/>
    <col min="6941" max="6941" width="5.42578125" style="208" customWidth="1"/>
    <col min="6942" max="6942" width="5.28515625" style="208" customWidth="1"/>
    <col min="6943" max="7168" width="9.140625" style="208"/>
    <col min="7169" max="7169" width="9.7109375" style="208" customWidth="1"/>
    <col min="7170" max="7170" width="29.42578125" style="208" customWidth="1"/>
    <col min="7171" max="7171" width="7.140625" style="208" customWidth="1"/>
    <col min="7172" max="7172" width="7.7109375" style="208" customWidth="1"/>
    <col min="7173" max="7173" width="5.5703125" style="208" customWidth="1"/>
    <col min="7174" max="7174" width="7.140625" style="208" customWidth="1"/>
    <col min="7175" max="7175" width="7" style="208" customWidth="1"/>
    <col min="7176" max="7176" width="6.7109375" style="208" customWidth="1"/>
    <col min="7177" max="7177" width="6.28515625" style="208" customWidth="1"/>
    <col min="7178" max="7179" width="7" style="208" customWidth="1"/>
    <col min="7180" max="7180" width="6.5703125" style="208" customWidth="1"/>
    <col min="7181" max="7181" width="4.85546875" style="208" customWidth="1"/>
    <col min="7182" max="7182" width="7.28515625" style="208" customWidth="1"/>
    <col min="7183" max="7184" width="6.28515625" style="208" customWidth="1"/>
    <col min="7185" max="7185" width="5.42578125" style="208" customWidth="1"/>
    <col min="7186" max="7186" width="6.5703125" style="208" customWidth="1"/>
    <col min="7187" max="7187" width="5.140625" style="208" customWidth="1"/>
    <col min="7188" max="7188" width="5" style="208" customWidth="1"/>
    <col min="7189" max="7189" width="4.7109375" style="208" customWidth="1"/>
    <col min="7190" max="7190" width="5.140625" style="208" customWidth="1"/>
    <col min="7191" max="7191" width="5.7109375" style="208" customWidth="1"/>
    <col min="7192" max="7192" width="6.140625" style="208" customWidth="1"/>
    <col min="7193" max="7193" width="4.7109375" style="208" customWidth="1"/>
    <col min="7194" max="7194" width="5.140625" style="208" customWidth="1"/>
    <col min="7195" max="7195" width="5.5703125" style="208" customWidth="1"/>
    <col min="7196" max="7196" width="5.85546875" style="208" customWidth="1"/>
    <col min="7197" max="7197" width="5.42578125" style="208" customWidth="1"/>
    <col min="7198" max="7198" width="5.28515625" style="208" customWidth="1"/>
    <col min="7199" max="7424" width="9.140625" style="208"/>
    <col min="7425" max="7425" width="9.7109375" style="208" customWidth="1"/>
    <col min="7426" max="7426" width="29.42578125" style="208" customWidth="1"/>
    <col min="7427" max="7427" width="7.140625" style="208" customWidth="1"/>
    <col min="7428" max="7428" width="7.7109375" style="208" customWidth="1"/>
    <col min="7429" max="7429" width="5.5703125" style="208" customWidth="1"/>
    <col min="7430" max="7430" width="7.140625" style="208" customWidth="1"/>
    <col min="7431" max="7431" width="7" style="208" customWidth="1"/>
    <col min="7432" max="7432" width="6.7109375" style="208" customWidth="1"/>
    <col min="7433" max="7433" width="6.28515625" style="208" customWidth="1"/>
    <col min="7434" max="7435" width="7" style="208" customWidth="1"/>
    <col min="7436" max="7436" width="6.5703125" style="208" customWidth="1"/>
    <col min="7437" max="7437" width="4.85546875" style="208" customWidth="1"/>
    <col min="7438" max="7438" width="7.28515625" style="208" customWidth="1"/>
    <col min="7439" max="7440" width="6.28515625" style="208" customWidth="1"/>
    <col min="7441" max="7441" width="5.42578125" style="208" customWidth="1"/>
    <col min="7442" max="7442" width="6.5703125" style="208" customWidth="1"/>
    <col min="7443" max="7443" width="5.140625" style="208" customWidth="1"/>
    <col min="7444" max="7444" width="5" style="208" customWidth="1"/>
    <col min="7445" max="7445" width="4.7109375" style="208" customWidth="1"/>
    <col min="7446" max="7446" width="5.140625" style="208" customWidth="1"/>
    <col min="7447" max="7447" width="5.7109375" style="208" customWidth="1"/>
    <col min="7448" max="7448" width="6.140625" style="208" customWidth="1"/>
    <col min="7449" max="7449" width="4.7109375" style="208" customWidth="1"/>
    <col min="7450" max="7450" width="5.140625" style="208" customWidth="1"/>
    <col min="7451" max="7451" width="5.5703125" style="208" customWidth="1"/>
    <col min="7452" max="7452" width="5.85546875" style="208" customWidth="1"/>
    <col min="7453" max="7453" width="5.42578125" style="208" customWidth="1"/>
    <col min="7454" max="7454" width="5.28515625" style="208" customWidth="1"/>
    <col min="7455" max="7680" width="9.140625" style="208"/>
    <col min="7681" max="7681" width="9.7109375" style="208" customWidth="1"/>
    <col min="7682" max="7682" width="29.42578125" style="208" customWidth="1"/>
    <col min="7683" max="7683" width="7.140625" style="208" customWidth="1"/>
    <col min="7684" max="7684" width="7.7109375" style="208" customWidth="1"/>
    <col min="7685" max="7685" width="5.5703125" style="208" customWidth="1"/>
    <col min="7686" max="7686" width="7.140625" style="208" customWidth="1"/>
    <col min="7687" max="7687" width="7" style="208" customWidth="1"/>
    <col min="7688" max="7688" width="6.7109375" style="208" customWidth="1"/>
    <col min="7689" max="7689" width="6.28515625" style="208" customWidth="1"/>
    <col min="7690" max="7691" width="7" style="208" customWidth="1"/>
    <col min="7692" max="7692" width="6.5703125" style="208" customWidth="1"/>
    <col min="7693" max="7693" width="4.85546875" style="208" customWidth="1"/>
    <col min="7694" max="7694" width="7.28515625" style="208" customWidth="1"/>
    <col min="7695" max="7696" width="6.28515625" style="208" customWidth="1"/>
    <col min="7697" max="7697" width="5.42578125" style="208" customWidth="1"/>
    <col min="7698" max="7698" width="6.5703125" style="208" customWidth="1"/>
    <col min="7699" max="7699" width="5.140625" style="208" customWidth="1"/>
    <col min="7700" max="7700" width="5" style="208" customWidth="1"/>
    <col min="7701" max="7701" width="4.7109375" style="208" customWidth="1"/>
    <col min="7702" max="7702" width="5.140625" style="208" customWidth="1"/>
    <col min="7703" max="7703" width="5.7109375" style="208" customWidth="1"/>
    <col min="7704" max="7704" width="6.140625" style="208" customWidth="1"/>
    <col min="7705" max="7705" width="4.7109375" style="208" customWidth="1"/>
    <col min="7706" max="7706" width="5.140625" style="208" customWidth="1"/>
    <col min="7707" max="7707" width="5.5703125" style="208" customWidth="1"/>
    <col min="7708" max="7708" width="5.85546875" style="208" customWidth="1"/>
    <col min="7709" max="7709" width="5.42578125" style="208" customWidth="1"/>
    <col min="7710" max="7710" width="5.28515625" style="208" customWidth="1"/>
    <col min="7711" max="7936" width="9.140625" style="208"/>
    <col min="7937" max="7937" width="9.7109375" style="208" customWidth="1"/>
    <col min="7938" max="7938" width="29.42578125" style="208" customWidth="1"/>
    <col min="7939" max="7939" width="7.140625" style="208" customWidth="1"/>
    <col min="7940" max="7940" width="7.7109375" style="208" customWidth="1"/>
    <col min="7941" max="7941" width="5.5703125" style="208" customWidth="1"/>
    <col min="7942" max="7942" width="7.140625" style="208" customWidth="1"/>
    <col min="7943" max="7943" width="7" style="208" customWidth="1"/>
    <col min="7944" max="7944" width="6.7109375" style="208" customWidth="1"/>
    <col min="7945" max="7945" width="6.28515625" style="208" customWidth="1"/>
    <col min="7946" max="7947" width="7" style="208" customWidth="1"/>
    <col min="7948" max="7948" width="6.5703125" style="208" customWidth="1"/>
    <col min="7949" max="7949" width="4.85546875" style="208" customWidth="1"/>
    <col min="7950" max="7950" width="7.28515625" style="208" customWidth="1"/>
    <col min="7951" max="7952" width="6.28515625" style="208" customWidth="1"/>
    <col min="7953" max="7953" width="5.42578125" style="208" customWidth="1"/>
    <col min="7954" max="7954" width="6.5703125" style="208" customWidth="1"/>
    <col min="7955" max="7955" width="5.140625" style="208" customWidth="1"/>
    <col min="7956" max="7956" width="5" style="208" customWidth="1"/>
    <col min="7957" max="7957" width="4.7109375" style="208" customWidth="1"/>
    <col min="7958" max="7958" width="5.140625" style="208" customWidth="1"/>
    <col min="7959" max="7959" width="5.7109375" style="208" customWidth="1"/>
    <col min="7960" max="7960" width="6.140625" style="208" customWidth="1"/>
    <col min="7961" max="7961" width="4.7109375" style="208" customWidth="1"/>
    <col min="7962" max="7962" width="5.140625" style="208" customWidth="1"/>
    <col min="7963" max="7963" width="5.5703125" style="208" customWidth="1"/>
    <col min="7964" max="7964" width="5.85546875" style="208" customWidth="1"/>
    <col min="7965" max="7965" width="5.42578125" style="208" customWidth="1"/>
    <col min="7966" max="7966" width="5.28515625" style="208" customWidth="1"/>
    <col min="7967" max="8192" width="9.140625" style="208"/>
    <col min="8193" max="8193" width="9.7109375" style="208" customWidth="1"/>
    <col min="8194" max="8194" width="29.42578125" style="208" customWidth="1"/>
    <col min="8195" max="8195" width="7.140625" style="208" customWidth="1"/>
    <col min="8196" max="8196" width="7.7109375" style="208" customWidth="1"/>
    <col min="8197" max="8197" width="5.5703125" style="208" customWidth="1"/>
    <col min="8198" max="8198" width="7.140625" style="208" customWidth="1"/>
    <col min="8199" max="8199" width="7" style="208" customWidth="1"/>
    <col min="8200" max="8200" width="6.7109375" style="208" customWidth="1"/>
    <col min="8201" max="8201" width="6.28515625" style="208" customWidth="1"/>
    <col min="8202" max="8203" width="7" style="208" customWidth="1"/>
    <col min="8204" max="8204" width="6.5703125" style="208" customWidth="1"/>
    <col min="8205" max="8205" width="4.85546875" style="208" customWidth="1"/>
    <col min="8206" max="8206" width="7.28515625" style="208" customWidth="1"/>
    <col min="8207" max="8208" width="6.28515625" style="208" customWidth="1"/>
    <col min="8209" max="8209" width="5.42578125" style="208" customWidth="1"/>
    <col min="8210" max="8210" width="6.5703125" style="208" customWidth="1"/>
    <col min="8211" max="8211" width="5.140625" style="208" customWidth="1"/>
    <col min="8212" max="8212" width="5" style="208" customWidth="1"/>
    <col min="8213" max="8213" width="4.7109375" style="208" customWidth="1"/>
    <col min="8214" max="8214" width="5.140625" style="208" customWidth="1"/>
    <col min="8215" max="8215" width="5.7109375" style="208" customWidth="1"/>
    <col min="8216" max="8216" width="6.140625" style="208" customWidth="1"/>
    <col min="8217" max="8217" width="4.7109375" style="208" customWidth="1"/>
    <col min="8218" max="8218" width="5.140625" style="208" customWidth="1"/>
    <col min="8219" max="8219" width="5.5703125" style="208" customWidth="1"/>
    <col min="8220" max="8220" width="5.85546875" style="208" customWidth="1"/>
    <col min="8221" max="8221" width="5.42578125" style="208" customWidth="1"/>
    <col min="8222" max="8222" width="5.28515625" style="208" customWidth="1"/>
    <col min="8223" max="8448" width="9.140625" style="208"/>
    <col min="8449" max="8449" width="9.7109375" style="208" customWidth="1"/>
    <col min="8450" max="8450" width="29.42578125" style="208" customWidth="1"/>
    <col min="8451" max="8451" width="7.140625" style="208" customWidth="1"/>
    <col min="8452" max="8452" width="7.7109375" style="208" customWidth="1"/>
    <col min="8453" max="8453" width="5.5703125" style="208" customWidth="1"/>
    <col min="8454" max="8454" width="7.140625" style="208" customWidth="1"/>
    <col min="8455" max="8455" width="7" style="208" customWidth="1"/>
    <col min="8456" max="8456" width="6.7109375" style="208" customWidth="1"/>
    <col min="8457" max="8457" width="6.28515625" style="208" customWidth="1"/>
    <col min="8458" max="8459" width="7" style="208" customWidth="1"/>
    <col min="8460" max="8460" width="6.5703125" style="208" customWidth="1"/>
    <col min="8461" max="8461" width="4.85546875" style="208" customWidth="1"/>
    <col min="8462" max="8462" width="7.28515625" style="208" customWidth="1"/>
    <col min="8463" max="8464" width="6.28515625" style="208" customWidth="1"/>
    <col min="8465" max="8465" width="5.42578125" style="208" customWidth="1"/>
    <col min="8466" max="8466" width="6.5703125" style="208" customWidth="1"/>
    <col min="8467" max="8467" width="5.140625" style="208" customWidth="1"/>
    <col min="8468" max="8468" width="5" style="208" customWidth="1"/>
    <col min="8469" max="8469" width="4.7109375" style="208" customWidth="1"/>
    <col min="8470" max="8470" width="5.140625" style="208" customWidth="1"/>
    <col min="8471" max="8471" width="5.7109375" style="208" customWidth="1"/>
    <col min="8472" max="8472" width="6.140625" style="208" customWidth="1"/>
    <col min="8473" max="8473" width="4.7109375" style="208" customWidth="1"/>
    <col min="8474" max="8474" width="5.140625" style="208" customWidth="1"/>
    <col min="8475" max="8475" width="5.5703125" style="208" customWidth="1"/>
    <col min="8476" max="8476" width="5.85546875" style="208" customWidth="1"/>
    <col min="8477" max="8477" width="5.42578125" style="208" customWidth="1"/>
    <col min="8478" max="8478" width="5.28515625" style="208" customWidth="1"/>
    <col min="8479" max="8704" width="9.140625" style="208"/>
    <col min="8705" max="8705" width="9.7109375" style="208" customWidth="1"/>
    <col min="8706" max="8706" width="29.42578125" style="208" customWidth="1"/>
    <col min="8707" max="8707" width="7.140625" style="208" customWidth="1"/>
    <col min="8708" max="8708" width="7.7109375" style="208" customWidth="1"/>
    <col min="8709" max="8709" width="5.5703125" style="208" customWidth="1"/>
    <col min="8710" max="8710" width="7.140625" style="208" customWidth="1"/>
    <col min="8711" max="8711" width="7" style="208" customWidth="1"/>
    <col min="8712" max="8712" width="6.7109375" style="208" customWidth="1"/>
    <col min="8713" max="8713" width="6.28515625" style="208" customWidth="1"/>
    <col min="8714" max="8715" width="7" style="208" customWidth="1"/>
    <col min="8716" max="8716" width="6.5703125" style="208" customWidth="1"/>
    <col min="8717" max="8717" width="4.85546875" style="208" customWidth="1"/>
    <col min="8718" max="8718" width="7.28515625" style="208" customWidth="1"/>
    <col min="8719" max="8720" width="6.28515625" style="208" customWidth="1"/>
    <col min="8721" max="8721" width="5.42578125" style="208" customWidth="1"/>
    <col min="8722" max="8722" width="6.5703125" style="208" customWidth="1"/>
    <col min="8723" max="8723" width="5.140625" style="208" customWidth="1"/>
    <col min="8724" max="8724" width="5" style="208" customWidth="1"/>
    <col min="8725" max="8725" width="4.7109375" style="208" customWidth="1"/>
    <col min="8726" max="8726" width="5.140625" style="208" customWidth="1"/>
    <col min="8727" max="8727" width="5.7109375" style="208" customWidth="1"/>
    <col min="8728" max="8728" width="6.140625" style="208" customWidth="1"/>
    <col min="8729" max="8729" width="4.7109375" style="208" customWidth="1"/>
    <col min="8730" max="8730" width="5.140625" style="208" customWidth="1"/>
    <col min="8731" max="8731" width="5.5703125" style="208" customWidth="1"/>
    <col min="8732" max="8732" width="5.85546875" style="208" customWidth="1"/>
    <col min="8733" max="8733" width="5.42578125" style="208" customWidth="1"/>
    <col min="8734" max="8734" width="5.28515625" style="208" customWidth="1"/>
    <col min="8735" max="8960" width="9.140625" style="208"/>
    <col min="8961" max="8961" width="9.7109375" style="208" customWidth="1"/>
    <col min="8962" max="8962" width="29.42578125" style="208" customWidth="1"/>
    <col min="8963" max="8963" width="7.140625" style="208" customWidth="1"/>
    <col min="8964" max="8964" width="7.7109375" style="208" customWidth="1"/>
    <col min="8965" max="8965" width="5.5703125" style="208" customWidth="1"/>
    <col min="8966" max="8966" width="7.140625" style="208" customWidth="1"/>
    <col min="8967" max="8967" width="7" style="208" customWidth="1"/>
    <col min="8968" max="8968" width="6.7109375" style="208" customWidth="1"/>
    <col min="8969" max="8969" width="6.28515625" style="208" customWidth="1"/>
    <col min="8970" max="8971" width="7" style="208" customWidth="1"/>
    <col min="8972" max="8972" width="6.5703125" style="208" customWidth="1"/>
    <col min="8973" max="8973" width="4.85546875" style="208" customWidth="1"/>
    <col min="8974" max="8974" width="7.28515625" style="208" customWidth="1"/>
    <col min="8975" max="8976" width="6.28515625" style="208" customWidth="1"/>
    <col min="8977" max="8977" width="5.42578125" style="208" customWidth="1"/>
    <col min="8978" max="8978" width="6.5703125" style="208" customWidth="1"/>
    <col min="8979" max="8979" width="5.140625" style="208" customWidth="1"/>
    <col min="8980" max="8980" width="5" style="208" customWidth="1"/>
    <col min="8981" max="8981" width="4.7109375" style="208" customWidth="1"/>
    <col min="8982" max="8982" width="5.140625" style="208" customWidth="1"/>
    <col min="8983" max="8983" width="5.7109375" style="208" customWidth="1"/>
    <col min="8984" max="8984" width="6.140625" style="208" customWidth="1"/>
    <col min="8985" max="8985" width="4.7109375" style="208" customWidth="1"/>
    <col min="8986" max="8986" width="5.140625" style="208" customWidth="1"/>
    <col min="8987" max="8987" width="5.5703125" style="208" customWidth="1"/>
    <col min="8988" max="8988" width="5.85546875" style="208" customWidth="1"/>
    <col min="8989" max="8989" width="5.42578125" style="208" customWidth="1"/>
    <col min="8990" max="8990" width="5.28515625" style="208" customWidth="1"/>
    <col min="8991" max="9216" width="9.140625" style="208"/>
    <col min="9217" max="9217" width="9.7109375" style="208" customWidth="1"/>
    <col min="9218" max="9218" width="29.42578125" style="208" customWidth="1"/>
    <col min="9219" max="9219" width="7.140625" style="208" customWidth="1"/>
    <col min="9220" max="9220" width="7.7109375" style="208" customWidth="1"/>
    <col min="9221" max="9221" width="5.5703125" style="208" customWidth="1"/>
    <col min="9222" max="9222" width="7.140625" style="208" customWidth="1"/>
    <col min="9223" max="9223" width="7" style="208" customWidth="1"/>
    <col min="9224" max="9224" width="6.7109375" style="208" customWidth="1"/>
    <col min="9225" max="9225" width="6.28515625" style="208" customWidth="1"/>
    <col min="9226" max="9227" width="7" style="208" customWidth="1"/>
    <col min="9228" max="9228" width="6.5703125" style="208" customWidth="1"/>
    <col min="9229" max="9229" width="4.85546875" style="208" customWidth="1"/>
    <col min="9230" max="9230" width="7.28515625" style="208" customWidth="1"/>
    <col min="9231" max="9232" width="6.28515625" style="208" customWidth="1"/>
    <col min="9233" max="9233" width="5.42578125" style="208" customWidth="1"/>
    <col min="9234" max="9234" width="6.5703125" style="208" customWidth="1"/>
    <col min="9235" max="9235" width="5.140625" style="208" customWidth="1"/>
    <col min="9236" max="9236" width="5" style="208" customWidth="1"/>
    <col min="9237" max="9237" width="4.7109375" style="208" customWidth="1"/>
    <col min="9238" max="9238" width="5.140625" style="208" customWidth="1"/>
    <col min="9239" max="9239" width="5.7109375" style="208" customWidth="1"/>
    <col min="9240" max="9240" width="6.140625" style="208" customWidth="1"/>
    <col min="9241" max="9241" width="4.7109375" style="208" customWidth="1"/>
    <col min="9242" max="9242" width="5.140625" style="208" customWidth="1"/>
    <col min="9243" max="9243" width="5.5703125" style="208" customWidth="1"/>
    <col min="9244" max="9244" width="5.85546875" style="208" customWidth="1"/>
    <col min="9245" max="9245" width="5.42578125" style="208" customWidth="1"/>
    <col min="9246" max="9246" width="5.28515625" style="208" customWidth="1"/>
    <col min="9247" max="9472" width="9.140625" style="208"/>
    <col min="9473" max="9473" width="9.7109375" style="208" customWidth="1"/>
    <col min="9474" max="9474" width="29.42578125" style="208" customWidth="1"/>
    <col min="9475" max="9475" width="7.140625" style="208" customWidth="1"/>
    <col min="9476" max="9476" width="7.7109375" style="208" customWidth="1"/>
    <col min="9477" max="9477" width="5.5703125" style="208" customWidth="1"/>
    <col min="9478" max="9478" width="7.140625" style="208" customWidth="1"/>
    <col min="9479" max="9479" width="7" style="208" customWidth="1"/>
    <col min="9480" max="9480" width="6.7109375" style="208" customWidth="1"/>
    <col min="9481" max="9481" width="6.28515625" style="208" customWidth="1"/>
    <col min="9482" max="9483" width="7" style="208" customWidth="1"/>
    <col min="9484" max="9484" width="6.5703125" style="208" customWidth="1"/>
    <col min="9485" max="9485" width="4.85546875" style="208" customWidth="1"/>
    <col min="9486" max="9486" width="7.28515625" style="208" customWidth="1"/>
    <col min="9487" max="9488" width="6.28515625" style="208" customWidth="1"/>
    <col min="9489" max="9489" width="5.42578125" style="208" customWidth="1"/>
    <col min="9490" max="9490" width="6.5703125" style="208" customWidth="1"/>
    <col min="9491" max="9491" width="5.140625" style="208" customWidth="1"/>
    <col min="9492" max="9492" width="5" style="208" customWidth="1"/>
    <col min="9493" max="9493" width="4.7109375" style="208" customWidth="1"/>
    <col min="9494" max="9494" width="5.140625" style="208" customWidth="1"/>
    <col min="9495" max="9495" width="5.7109375" style="208" customWidth="1"/>
    <col min="9496" max="9496" width="6.140625" style="208" customWidth="1"/>
    <col min="9497" max="9497" width="4.7109375" style="208" customWidth="1"/>
    <col min="9498" max="9498" width="5.140625" style="208" customWidth="1"/>
    <col min="9499" max="9499" width="5.5703125" style="208" customWidth="1"/>
    <col min="9500" max="9500" width="5.85546875" style="208" customWidth="1"/>
    <col min="9501" max="9501" width="5.42578125" style="208" customWidth="1"/>
    <col min="9502" max="9502" width="5.28515625" style="208" customWidth="1"/>
    <col min="9503" max="9728" width="9.140625" style="208"/>
    <col min="9729" max="9729" width="9.7109375" style="208" customWidth="1"/>
    <col min="9730" max="9730" width="29.42578125" style="208" customWidth="1"/>
    <col min="9731" max="9731" width="7.140625" style="208" customWidth="1"/>
    <col min="9732" max="9732" width="7.7109375" style="208" customWidth="1"/>
    <col min="9733" max="9733" width="5.5703125" style="208" customWidth="1"/>
    <col min="9734" max="9734" width="7.140625" style="208" customWidth="1"/>
    <col min="9735" max="9735" width="7" style="208" customWidth="1"/>
    <col min="9736" max="9736" width="6.7109375" style="208" customWidth="1"/>
    <col min="9737" max="9737" width="6.28515625" style="208" customWidth="1"/>
    <col min="9738" max="9739" width="7" style="208" customWidth="1"/>
    <col min="9740" max="9740" width="6.5703125" style="208" customWidth="1"/>
    <col min="9741" max="9741" width="4.85546875" style="208" customWidth="1"/>
    <col min="9742" max="9742" width="7.28515625" style="208" customWidth="1"/>
    <col min="9743" max="9744" width="6.28515625" style="208" customWidth="1"/>
    <col min="9745" max="9745" width="5.42578125" style="208" customWidth="1"/>
    <col min="9746" max="9746" width="6.5703125" style="208" customWidth="1"/>
    <col min="9747" max="9747" width="5.140625" style="208" customWidth="1"/>
    <col min="9748" max="9748" width="5" style="208" customWidth="1"/>
    <col min="9749" max="9749" width="4.7109375" style="208" customWidth="1"/>
    <col min="9750" max="9750" width="5.140625" style="208" customWidth="1"/>
    <col min="9751" max="9751" width="5.7109375" style="208" customWidth="1"/>
    <col min="9752" max="9752" width="6.140625" style="208" customWidth="1"/>
    <col min="9753" max="9753" width="4.7109375" style="208" customWidth="1"/>
    <col min="9754" max="9754" width="5.140625" style="208" customWidth="1"/>
    <col min="9755" max="9755" width="5.5703125" style="208" customWidth="1"/>
    <col min="9756" max="9756" width="5.85546875" style="208" customWidth="1"/>
    <col min="9757" max="9757" width="5.42578125" style="208" customWidth="1"/>
    <col min="9758" max="9758" width="5.28515625" style="208" customWidth="1"/>
    <col min="9759" max="9984" width="9.140625" style="208"/>
    <col min="9985" max="9985" width="9.7109375" style="208" customWidth="1"/>
    <col min="9986" max="9986" width="29.42578125" style="208" customWidth="1"/>
    <col min="9987" max="9987" width="7.140625" style="208" customWidth="1"/>
    <col min="9988" max="9988" width="7.7109375" style="208" customWidth="1"/>
    <col min="9989" max="9989" width="5.5703125" style="208" customWidth="1"/>
    <col min="9990" max="9990" width="7.140625" style="208" customWidth="1"/>
    <col min="9991" max="9991" width="7" style="208" customWidth="1"/>
    <col min="9992" max="9992" width="6.7109375" style="208" customWidth="1"/>
    <col min="9993" max="9993" width="6.28515625" style="208" customWidth="1"/>
    <col min="9994" max="9995" width="7" style="208" customWidth="1"/>
    <col min="9996" max="9996" width="6.5703125" style="208" customWidth="1"/>
    <col min="9997" max="9997" width="4.85546875" style="208" customWidth="1"/>
    <col min="9998" max="9998" width="7.28515625" style="208" customWidth="1"/>
    <col min="9999" max="10000" width="6.28515625" style="208" customWidth="1"/>
    <col min="10001" max="10001" width="5.42578125" style="208" customWidth="1"/>
    <col min="10002" max="10002" width="6.5703125" style="208" customWidth="1"/>
    <col min="10003" max="10003" width="5.140625" style="208" customWidth="1"/>
    <col min="10004" max="10004" width="5" style="208" customWidth="1"/>
    <col min="10005" max="10005" width="4.7109375" style="208" customWidth="1"/>
    <col min="10006" max="10006" width="5.140625" style="208" customWidth="1"/>
    <col min="10007" max="10007" width="5.7109375" style="208" customWidth="1"/>
    <col min="10008" max="10008" width="6.140625" style="208" customWidth="1"/>
    <col min="10009" max="10009" width="4.7109375" style="208" customWidth="1"/>
    <col min="10010" max="10010" width="5.140625" style="208" customWidth="1"/>
    <col min="10011" max="10011" width="5.5703125" style="208" customWidth="1"/>
    <col min="10012" max="10012" width="5.85546875" style="208" customWidth="1"/>
    <col min="10013" max="10013" width="5.42578125" style="208" customWidth="1"/>
    <col min="10014" max="10014" width="5.28515625" style="208" customWidth="1"/>
    <col min="10015" max="10240" width="9.140625" style="208"/>
    <col min="10241" max="10241" width="9.7109375" style="208" customWidth="1"/>
    <col min="10242" max="10242" width="29.42578125" style="208" customWidth="1"/>
    <col min="10243" max="10243" width="7.140625" style="208" customWidth="1"/>
    <col min="10244" max="10244" width="7.7109375" style="208" customWidth="1"/>
    <col min="10245" max="10245" width="5.5703125" style="208" customWidth="1"/>
    <col min="10246" max="10246" width="7.140625" style="208" customWidth="1"/>
    <col min="10247" max="10247" width="7" style="208" customWidth="1"/>
    <col min="10248" max="10248" width="6.7109375" style="208" customWidth="1"/>
    <col min="10249" max="10249" width="6.28515625" style="208" customWidth="1"/>
    <col min="10250" max="10251" width="7" style="208" customWidth="1"/>
    <col min="10252" max="10252" width="6.5703125" style="208" customWidth="1"/>
    <col min="10253" max="10253" width="4.85546875" style="208" customWidth="1"/>
    <col min="10254" max="10254" width="7.28515625" style="208" customWidth="1"/>
    <col min="10255" max="10256" width="6.28515625" style="208" customWidth="1"/>
    <col min="10257" max="10257" width="5.42578125" style="208" customWidth="1"/>
    <col min="10258" max="10258" width="6.5703125" style="208" customWidth="1"/>
    <col min="10259" max="10259" width="5.140625" style="208" customWidth="1"/>
    <col min="10260" max="10260" width="5" style="208" customWidth="1"/>
    <col min="10261" max="10261" width="4.7109375" style="208" customWidth="1"/>
    <col min="10262" max="10262" width="5.140625" style="208" customWidth="1"/>
    <col min="10263" max="10263" width="5.7109375" style="208" customWidth="1"/>
    <col min="10264" max="10264" width="6.140625" style="208" customWidth="1"/>
    <col min="10265" max="10265" width="4.7109375" style="208" customWidth="1"/>
    <col min="10266" max="10266" width="5.140625" style="208" customWidth="1"/>
    <col min="10267" max="10267" width="5.5703125" style="208" customWidth="1"/>
    <col min="10268" max="10268" width="5.85546875" style="208" customWidth="1"/>
    <col min="10269" max="10269" width="5.42578125" style="208" customWidth="1"/>
    <col min="10270" max="10270" width="5.28515625" style="208" customWidth="1"/>
    <col min="10271" max="10496" width="9.140625" style="208"/>
    <col min="10497" max="10497" width="9.7109375" style="208" customWidth="1"/>
    <col min="10498" max="10498" width="29.42578125" style="208" customWidth="1"/>
    <col min="10499" max="10499" width="7.140625" style="208" customWidth="1"/>
    <col min="10500" max="10500" width="7.7109375" style="208" customWidth="1"/>
    <col min="10501" max="10501" width="5.5703125" style="208" customWidth="1"/>
    <col min="10502" max="10502" width="7.140625" style="208" customWidth="1"/>
    <col min="10503" max="10503" width="7" style="208" customWidth="1"/>
    <col min="10504" max="10504" width="6.7109375" style="208" customWidth="1"/>
    <col min="10505" max="10505" width="6.28515625" style="208" customWidth="1"/>
    <col min="10506" max="10507" width="7" style="208" customWidth="1"/>
    <col min="10508" max="10508" width="6.5703125" style="208" customWidth="1"/>
    <col min="10509" max="10509" width="4.85546875" style="208" customWidth="1"/>
    <col min="10510" max="10510" width="7.28515625" style="208" customWidth="1"/>
    <col min="10511" max="10512" width="6.28515625" style="208" customWidth="1"/>
    <col min="10513" max="10513" width="5.42578125" style="208" customWidth="1"/>
    <col min="10514" max="10514" width="6.5703125" style="208" customWidth="1"/>
    <col min="10515" max="10515" width="5.140625" style="208" customWidth="1"/>
    <col min="10516" max="10516" width="5" style="208" customWidth="1"/>
    <col min="10517" max="10517" width="4.7109375" style="208" customWidth="1"/>
    <col min="10518" max="10518" width="5.140625" style="208" customWidth="1"/>
    <col min="10519" max="10519" width="5.7109375" style="208" customWidth="1"/>
    <col min="10520" max="10520" width="6.140625" style="208" customWidth="1"/>
    <col min="10521" max="10521" width="4.7109375" style="208" customWidth="1"/>
    <col min="10522" max="10522" width="5.140625" style="208" customWidth="1"/>
    <col min="10523" max="10523" width="5.5703125" style="208" customWidth="1"/>
    <col min="10524" max="10524" width="5.85546875" style="208" customWidth="1"/>
    <col min="10525" max="10525" width="5.42578125" style="208" customWidth="1"/>
    <col min="10526" max="10526" width="5.28515625" style="208" customWidth="1"/>
    <col min="10527" max="10752" width="9.140625" style="208"/>
    <col min="10753" max="10753" width="9.7109375" style="208" customWidth="1"/>
    <col min="10754" max="10754" width="29.42578125" style="208" customWidth="1"/>
    <col min="10755" max="10755" width="7.140625" style="208" customWidth="1"/>
    <col min="10756" max="10756" width="7.7109375" style="208" customWidth="1"/>
    <col min="10757" max="10757" width="5.5703125" style="208" customWidth="1"/>
    <col min="10758" max="10758" width="7.140625" style="208" customWidth="1"/>
    <col min="10759" max="10759" width="7" style="208" customWidth="1"/>
    <col min="10760" max="10760" width="6.7109375" style="208" customWidth="1"/>
    <col min="10761" max="10761" width="6.28515625" style="208" customWidth="1"/>
    <col min="10762" max="10763" width="7" style="208" customWidth="1"/>
    <col min="10764" max="10764" width="6.5703125" style="208" customWidth="1"/>
    <col min="10765" max="10765" width="4.85546875" style="208" customWidth="1"/>
    <col min="10766" max="10766" width="7.28515625" style="208" customWidth="1"/>
    <col min="10767" max="10768" width="6.28515625" style="208" customWidth="1"/>
    <col min="10769" max="10769" width="5.42578125" style="208" customWidth="1"/>
    <col min="10770" max="10770" width="6.5703125" style="208" customWidth="1"/>
    <col min="10771" max="10771" width="5.140625" style="208" customWidth="1"/>
    <col min="10772" max="10772" width="5" style="208" customWidth="1"/>
    <col min="10773" max="10773" width="4.7109375" style="208" customWidth="1"/>
    <col min="10774" max="10774" width="5.140625" style="208" customWidth="1"/>
    <col min="10775" max="10775" width="5.7109375" style="208" customWidth="1"/>
    <col min="10776" max="10776" width="6.140625" style="208" customWidth="1"/>
    <col min="10777" max="10777" width="4.7109375" style="208" customWidth="1"/>
    <col min="10778" max="10778" width="5.140625" style="208" customWidth="1"/>
    <col min="10779" max="10779" width="5.5703125" style="208" customWidth="1"/>
    <col min="10780" max="10780" width="5.85546875" style="208" customWidth="1"/>
    <col min="10781" max="10781" width="5.42578125" style="208" customWidth="1"/>
    <col min="10782" max="10782" width="5.28515625" style="208" customWidth="1"/>
    <col min="10783" max="11008" width="9.140625" style="208"/>
    <col min="11009" max="11009" width="9.7109375" style="208" customWidth="1"/>
    <col min="11010" max="11010" width="29.42578125" style="208" customWidth="1"/>
    <col min="11011" max="11011" width="7.140625" style="208" customWidth="1"/>
    <col min="11012" max="11012" width="7.7109375" style="208" customWidth="1"/>
    <col min="11013" max="11013" width="5.5703125" style="208" customWidth="1"/>
    <col min="11014" max="11014" width="7.140625" style="208" customWidth="1"/>
    <col min="11015" max="11015" width="7" style="208" customWidth="1"/>
    <col min="11016" max="11016" width="6.7109375" style="208" customWidth="1"/>
    <col min="11017" max="11017" width="6.28515625" style="208" customWidth="1"/>
    <col min="11018" max="11019" width="7" style="208" customWidth="1"/>
    <col min="11020" max="11020" width="6.5703125" style="208" customWidth="1"/>
    <col min="11021" max="11021" width="4.85546875" style="208" customWidth="1"/>
    <col min="11022" max="11022" width="7.28515625" style="208" customWidth="1"/>
    <col min="11023" max="11024" width="6.28515625" style="208" customWidth="1"/>
    <col min="11025" max="11025" width="5.42578125" style="208" customWidth="1"/>
    <col min="11026" max="11026" width="6.5703125" style="208" customWidth="1"/>
    <col min="11027" max="11027" width="5.140625" style="208" customWidth="1"/>
    <col min="11028" max="11028" width="5" style="208" customWidth="1"/>
    <col min="11029" max="11029" width="4.7109375" style="208" customWidth="1"/>
    <col min="11030" max="11030" width="5.140625" style="208" customWidth="1"/>
    <col min="11031" max="11031" width="5.7109375" style="208" customWidth="1"/>
    <col min="11032" max="11032" width="6.140625" style="208" customWidth="1"/>
    <col min="11033" max="11033" width="4.7109375" style="208" customWidth="1"/>
    <col min="11034" max="11034" width="5.140625" style="208" customWidth="1"/>
    <col min="11035" max="11035" width="5.5703125" style="208" customWidth="1"/>
    <col min="11036" max="11036" width="5.85546875" style="208" customWidth="1"/>
    <col min="11037" max="11037" width="5.42578125" style="208" customWidth="1"/>
    <col min="11038" max="11038" width="5.28515625" style="208" customWidth="1"/>
    <col min="11039" max="11264" width="9.140625" style="208"/>
    <col min="11265" max="11265" width="9.7109375" style="208" customWidth="1"/>
    <col min="11266" max="11266" width="29.42578125" style="208" customWidth="1"/>
    <col min="11267" max="11267" width="7.140625" style="208" customWidth="1"/>
    <col min="11268" max="11268" width="7.7109375" style="208" customWidth="1"/>
    <col min="11269" max="11269" width="5.5703125" style="208" customWidth="1"/>
    <col min="11270" max="11270" width="7.140625" style="208" customWidth="1"/>
    <col min="11271" max="11271" width="7" style="208" customWidth="1"/>
    <col min="11272" max="11272" width="6.7109375" style="208" customWidth="1"/>
    <col min="11273" max="11273" width="6.28515625" style="208" customWidth="1"/>
    <col min="11274" max="11275" width="7" style="208" customWidth="1"/>
    <col min="11276" max="11276" width="6.5703125" style="208" customWidth="1"/>
    <col min="11277" max="11277" width="4.85546875" style="208" customWidth="1"/>
    <col min="11278" max="11278" width="7.28515625" style="208" customWidth="1"/>
    <col min="11279" max="11280" width="6.28515625" style="208" customWidth="1"/>
    <col min="11281" max="11281" width="5.42578125" style="208" customWidth="1"/>
    <col min="11282" max="11282" width="6.5703125" style="208" customWidth="1"/>
    <col min="11283" max="11283" width="5.140625" style="208" customWidth="1"/>
    <col min="11284" max="11284" width="5" style="208" customWidth="1"/>
    <col min="11285" max="11285" width="4.7109375" style="208" customWidth="1"/>
    <col min="11286" max="11286" width="5.140625" style="208" customWidth="1"/>
    <col min="11287" max="11287" width="5.7109375" style="208" customWidth="1"/>
    <col min="11288" max="11288" width="6.140625" style="208" customWidth="1"/>
    <col min="11289" max="11289" width="4.7109375" style="208" customWidth="1"/>
    <col min="11290" max="11290" width="5.140625" style="208" customWidth="1"/>
    <col min="11291" max="11291" width="5.5703125" style="208" customWidth="1"/>
    <col min="11292" max="11292" width="5.85546875" style="208" customWidth="1"/>
    <col min="11293" max="11293" width="5.42578125" style="208" customWidth="1"/>
    <col min="11294" max="11294" width="5.28515625" style="208" customWidth="1"/>
    <col min="11295" max="11520" width="9.140625" style="208"/>
    <col min="11521" max="11521" width="9.7109375" style="208" customWidth="1"/>
    <col min="11522" max="11522" width="29.42578125" style="208" customWidth="1"/>
    <col min="11523" max="11523" width="7.140625" style="208" customWidth="1"/>
    <col min="11524" max="11524" width="7.7109375" style="208" customWidth="1"/>
    <col min="11525" max="11525" width="5.5703125" style="208" customWidth="1"/>
    <col min="11526" max="11526" width="7.140625" style="208" customWidth="1"/>
    <col min="11527" max="11527" width="7" style="208" customWidth="1"/>
    <col min="11528" max="11528" width="6.7109375" style="208" customWidth="1"/>
    <col min="11529" max="11529" width="6.28515625" style="208" customWidth="1"/>
    <col min="11530" max="11531" width="7" style="208" customWidth="1"/>
    <col min="11532" max="11532" width="6.5703125" style="208" customWidth="1"/>
    <col min="11533" max="11533" width="4.85546875" style="208" customWidth="1"/>
    <col min="11534" max="11534" width="7.28515625" style="208" customWidth="1"/>
    <col min="11535" max="11536" width="6.28515625" style="208" customWidth="1"/>
    <col min="11537" max="11537" width="5.42578125" style="208" customWidth="1"/>
    <col min="11538" max="11538" width="6.5703125" style="208" customWidth="1"/>
    <col min="11539" max="11539" width="5.140625" style="208" customWidth="1"/>
    <col min="11540" max="11540" width="5" style="208" customWidth="1"/>
    <col min="11541" max="11541" width="4.7109375" style="208" customWidth="1"/>
    <col min="11542" max="11542" width="5.140625" style="208" customWidth="1"/>
    <col min="11543" max="11543" width="5.7109375" style="208" customWidth="1"/>
    <col min="11544" max="11544" width="6.140625" style="208" customWidth="1"/>
    <col min="11545" max="11545" width="4.7109375" style="208" customWidth="1"/>
    <col min="11546" max="11546" width="5.140625" style="208" customWidth="1"/>
    <col min="11547" max="11547" width="5.5703125" style="208" customWidth="1"/>
    <col min="11548" max="11548" width="5.85546875" style="208" customWidth="1"/>
    <col min="11549" max="11549" width="5.42578125" style="208" customWidth="1"/>
    <col min="11550" max="11550" width="5.28515625" style="208" customWidth="1"/>
    <col min="11551" max="11776" width="9.140625" style="208"/>
    <col min="11777" max="11777" width="9.7109375" style="208" customWidth="1"/>
    <col min="11778" max="11778" width="29.42578125" style="208" customWidth="1"/>
    <col min="11779" max="11779" width="7.140625" style="208" customWidth="1"/>
    <col min="11780" max="11780" width="7.7109375" style="208" customWidth="1"/>
    <col min="11781" max="11781" width="5.5703125" style="208" customWidth="1"/>
    <col min="11782" max="11782" width="7.140625" style="208" customWidth="1"/>
    <col min="11783" max="11783" width="7" style="208" customWidth="1"/>
    <col min="11784" max="11784" width="6.7109375" style="208" customWidth="1"/>
    <col min="11785" max="11785" width="6.28515625" style="208" customWidth="1"/>
    <col min="11786" max="11787" width="7" style="208" customWidth="1"/>
    <col min="11788" max="11788" width="6.5703125" style="208" customWidth="1"/>
    <col min="11789" max="11789" width="4.85546875" style="208" customWidth="1"/>
    <col min="11790" max="11790" width="7.28515625" style="208" customWidth="1"/>
    <col min="11791" max="11792" width="6.28515625" style="208" customWidth="1"/>
    <col min="11793" max="11793" width="5.42578125" style="208" customWidth="1"/>
    <col min="11794" max="11794" width="6.5703125" style="208" customWidth="1"/>
    <col min="11795" max="11795" width="5.140625" style="208" customWidth="1"/>
    <col min="11796" max="11796" width="5" style="208" customWidth="1"/>
    <col min="11797" max="11797" width="4.7109375" style="208" customWidth="1"/>
    <col min="11798" max="11798" width="5.140625" style="208" customWidth="1"/>
    <col min="11799" max="11799" width="5.7109375" style="208" customWidth="1"/>
    <col min="11800" max="11800" width="6.140625" style="208" customWidth="1"/>
    <col min="11801" max="11801" width="4.7109375" style="208" customWidth="1"/>
    <col min="11802" max="11802" width="5.140625" style="208" customWidth="1"/>
    <col min="11803" max="11803" width="5.5703125" style="208" customWidth="1"/>
    <col min="11804" max="11804" width="5.85546875" style="208" customWidth="1"/>
    <col min="11805" max="11805" width="5.42578125" style="208" customWidth="1"/>
    <col min="11806" max="11806" width="5.28515625" style="208" customWidth="1"/>
    <col min="11807" max="12032" width="9.140625" style="208"/>
    <col min="12033" max="12033" width="9.7109375" style="208" customWidth="1"/>
    <col min="12034" max="12034" width="29.42578125" style="208" customWidth="1"/>
    <col min="12035" max="12035" width="7.140625" style="208" customWidth="1"/>
    <col min="12036" max="12036" width="7.7109375" style="208" customWidth="1"/>
    <col min="12037" max="12037" width="5.5703125" style="208" customWidth="1"/>
    <col min="12038" max="12038" width="7.140625" style="208" customWidth="1"/>
    <col min="12039" max="12039" width="7" style="208" customWidth="1"/>
    <col min="12040" max="12040" width="6.7109375" style="208" customWidth="1"/>
    <col min="12041" max="12041" width="6.28515625" style="208" customWidth="1"/>
    <col min="12042" max="12043" width="7" style="208" customWidth="1"/>
    <col min="12044" max="12044" width="6.5703125" style="208" customWidth="1"/>
    <col min="12045" max="12045" width="4.85546875" style="208" customWidth="1"/>
    <col min="12046" max="12046" width="7.28515625" style="208" customWidth="1"/>
    <col min="12047" max="12048" width="6.28515625" style="208" customWidth="1"/>
    <col min="12049" max="12049" width="5.42578125" style="208" customWidth="1"/>
    <col min="12050" max="12050" width="6.5703125" style="208" customWidth="1"/>
    <col min="12051" max="12051" width="5.140625" style="208" customWidth="1"/>
    <col min="12052" max="12052" width="5" style="208" customWidth="1"/>
    <col min="12053" max="12053" width="4.7109375" style="208" customWidth="1"/>
    <col min="12054" max="12054" width="5.140625" style="208" customWidth="1"/>
    <col min="12055" max="12055" width="5.7109375" style="208" customWidth="1"/>
    <col min="12056" max="12056" width="6.140625" style="208" customWidth="1"/>
    <col min="12057" max="12057" width="4.7109375" style="208" customWidth="1"/>
    <col min="12058" max="12058" width="5.140625" style="208" customWidth="1"/>
    <col min="12059" max="12059" width="5.5703125" style="208" customWidth="1"/>
    <col min="12060" max="12060" width="5.85546875" style="208" customWidth="1"/>
    <col min="12061" max="12061" width="5.42578125" style="208" customWidth="1"/>
    <col min="12062" max="12062" width="5.28515625" style="208" customWidth="1"/>
    <col min="12063" max="12288" width="9.140625" style="208"/>
    <col min="12289" max="12289" width="9.7109375" style="208" customWidth="1"/>
    <col min="12290" max="12290" width="29.42578125" style="208" customWidth="1"/>
    <col min="12291" max="12291" width="7.140625" style="208" customWidth="1"/>
    <col min="12292" max="12292" width="7.7109375" style="208" customWidth="1"/>
    <col min="12293" max="12293" width="5.5703125" style="208" customWidth="1"/>
    <col min="12294" max="12294" width="7.140625" style="208" customWidth="1"/>
    <col min="12295" max="12295" width="7" style="208" customWidth="1"/>
    <col min="12296" max="12296" width="6.7109375" style="208" customWidth="1"/>
    <col min="12297" max="12297" width="6.28515625" style="208" customWidth="1"/>
    <col min="12298" max="12299" width="7" style="208" customWidth="1"/>
    <col min="12300" max="12300" width="6.5703125" style="208" customWidth="1"/>
    <col min="12301" max="12301" width="4.85546875" style="208" customWidth="1"/>
    <col min="12302" max="12302" width="7.28515625" style="208" customWidth="1"/>
    <col min="12303" max="12304" width="6.28515625" style="208" customWidth="1"/>
    <col min="12305" max="12305" width="5.42578125" style="208" customWidth="1"/>
    <col min="12306" max="12306" width="6.5703125" style="208" customWidth="1"/>
    <col min="12307" max="12307" width="5.140625" style="208" customWidth="1"/>
    <col min="12308" max="12308" width="5" style="208" customWidth="1"/>
    <col min="12309" max="12309" width="4.7109375" style="208" customWidth="1"/>
    <col min="12310" max="12310" width="5.140625" style="208" customWidth="1"/>
    <col min="12311" max="12311" width="5.7109375" style="208" customWidth="1"/>
    <col min="12312" max="12312" width="6.140625" style="208" customWidth="1"/>
    <col min="12313" max="12313" width="4.7109375" style="208" customWidth="1"/>
    <col min="12314" max="12314" width="5.140625" style="208" customWidth="1"/>
    <col min="12315" max="12315" width="5.5703125" style="208" customWidth="1"/>
    <col min="12316" max="12316" width="5.85546875" style="208" customWidth="1"/>
    <col min="12317" max="12317" width="5.42578125" style="208" customWidth="1"/>
    <col min="12318" max="12318" width="5.28515625" style="208" customWidth="1"/>
    <col min="12319" max="12544" width="9.140625" style="208"/>
    <col min="12545" max="12545" width="9.7109375" style="208" customWidth="1"/>
    <col min="12546" max="12546" width="29.42578125" style="208" customWidth="1"/>
    <col min="12547" max="12547" width="7.140625" style="208" customWidth="1"/>
    <col min="12548" max="12548" width="7.7109375" style="208" customWidth="1"/>
    <col min="12549" max="12549" width="5.5703125" style="208" customWidth="1"/>
    <col min="12550" max="12550" width="7.140625" style="208" customWidth="1"/>
    <col min="12551" max="12551" width="7" style="208" customWidth="1"/>
    <col min="12552" max="12552" width="6.7109375" style="208" customWidth="1"/>
    <col min="12553" max="12553" width="6.28515625" style="208" customWidth="1"/>
    <col min="12554" max="12555" width="7" style="208" customWidth="1"/>
    <col min="12556" max="12556" width="6.5703125" style="208" customWidth="1"/>
    <col min="12557" max="12557" width="4.85546875" style="208" customWidth="1"/>
    <col min="12558" max="12558" width="7.28515625" style="208" customWidth="1"/>
    <col min="12559" max="12560" width="6.28515625" style="208" customWidth="1"/>
    <col min="12561" max="12561" width="5.42578125" style="208" customWidth="1"/>
    <col min="12562" max="12562" width="6.5703125" style="208" customWidth="1"/>
    <col min="12563" max="12563" width="5.140625" style="208" customWidth="1"/>
    <col min="12564" max="12564" width="5" style="208" customWidth="1"/>
    <col min="12565" max="12565" width="4.7109375" style="208" customWidth="1"/>
    <col min="12566" max="12566" width="5.140625" style="208" customWidth="1"/>
    <col min="12567" max="12567" width="5.7109375" style="208" customWidth="1"/>
    <col min="12568" max="12568" width="6.140625" style="208" customWidth="1"/>
    <col min="12569" max="12569" width="4.7109375" style="208" customWidth="1"/>
    <col min="12570" max="12570" width="5.140625" style="208" customWidth="1"/>
    <col min="12571" max="12571" width="5.5703125" style="208" customWidth="1"/>
    <col min="12572" max="12572" width="5.85546875" style="208" customWidth="1"/>
    <col min="12573" max="12573" width="5.42578125" style="208" customWidth="1"/>
    <col min="12574" max="12574" width="5.28515625" style="208" customWidth="1"/>
    <col min="12575" max="12800" width="9.140625" style="208"/>
    <col min="12801" max="12801" width="9.7109375" style="208" customWidth="1"/>
    <col min="12802" max="12802" width="29.42578125" style="208" customWidth="1"/>
    <col min="12803" max="12803" width="7.140625" style="208" customWidth="1"/>
    <col min="12804" max="12804" width="7.7109375" style="208" customWidth="1"/>
    <col min="12805" max="12805" width="5.5703125" style="208" customWidth="1"/>
    <col min="12806" max="12806" width="7.140625" style="208" customWidth="1"/>
    <col min="12807" max="12807" width="7" style="208" customWidth="1"/>
    <col min="12808" max="12808" width="6.7109375" style="208" customWidth="1"/>
    <col min="12809" max="12809" width="6.28515625" style="208" customWidth="1"/>
    <col min="12810" max="12811" width="7" style="208" customWidth="1"/>
    <col min="12812" max="12812" width="6.5703125" style="208" customWidth="1"/>
    <col min="12813" max="12813" width="4.85546875" style="208" customWidth="1"/>
    <col min="12814" max="12814" width="7.28515625" style="208" customWidth="1"/>
    <col min="12815" max="12816" width="6.28515625" style="208" customWidth="1"/>
    <col min="12817" max="12817" width="5.42578125" style="208" customWidth="1"/>
    <col min="12818" max="12818" width="6.5703125" style="208" customWidth="1"/>
    <col min="12819" max="12819" width="5.140625" style="208" customWidth="1"/>
    <col min="12820" max="12820" width="5" style="208" customWidth="1"/>
    <col min="12821" max="12821" width="4.7109375" style="208" customWidth="1"/>
    <col min="12822" max="12822" width="5.140625" style="208" customWidth="1"/>
    <col min="12823" max="12823" width="5.7109375" style="208" customWidth="1"/>
    <col min="12824" max="12824" width="6.140625" style="208" customWidth="1"/>
    <col min="12825" max="12825" width="4.7109375" style="208" customWidth="1"/>
    <col min="12826" max="12826" width="5.140625" style="208" customWidth="1"/>
    <col min="12827" max="12827" width="5.5703125" style="208" customWidth="1"/>
    <col min="12828" max="12828" width="5.85546875" style="208" customWidth="1"/>
    <col min="12829" max="12829" width="5.42578125" style="208" customWidth="1"/>
    <col min="12830" max="12830" width="5.28515625" style="208" customWidth="1"/>
    <col min="12831" max="13056" width="9.140625" style="208"/>
    <col min="13057" max="13057" width="9.7109375" style="208" customWidth="1"/>
    <col min="13058" max="13058" width="29.42578125" style="208" customWidth="1"/>
    <col min="13059" max="13059" width="7.140625" style="208" customWidth="1"/>
    <col min="13060" max="13060" width="7.7109375" style="208" customWidth="1"/>
    <col min="13061" max="13061" width="5.5703125" style="208" customWidth="1"/>
    <col min="13062" max="13062" width="7.140625" style="208" customWidth="1"/>
    <col min="13063" max="13063" width="7" style="208" customWidth="1"/>
    <col min="13064" max="13064" width="6.7109375" style="208" customWidth="1"/>
    <col min="13065" max="13065" width="6.28515625" style="208" customWidth="1"/>
    <col min="13066" max="13067" width="7" style="208" customWidth="1"/>
    <col min="13068" max="13068" width="6.5703125" style="208" customWidth="1"/>
    <col min="13069" max="13069" width="4.85546875" style="208" customWidth="1"/>
    <col min="13070" max="13070" width="7.28515625" style="208" customWidth="1"/>
    <col min="13071" max="13072" width="6.28515625" style="208" customWidth="1"/>
    <col min="13073" max="13073" width="5.42578125" style="208" customWidth="1"/>
    <col min="13074" max="13074" width="6.5703125" style="208" customWidth="1"/>
    <col min="13075" max="13075" width="5.140625" style="208" customWidth="1"/>
    <col min="13076" max="13076" width="5" style="208" customWidth="1"/>
    <col min="13077" max="13077" width="4.7109375" style="208" customWidth="1"/>
    <col min="13078" max="13078" width="5.140625" style="208" customWidth="1"/>
    <col min="13079" max="13079" width="5.7109375" style="208" customWidth="1"/>
    <col min="13080" max="13080" width="6.140625" style="208" customWidth="1"/>
    <col min="13081" max="13081" width="4.7109375" style="208" customWidth="1"/>
    <col min="13082" max="13082" width="5.140625" style="208" customWidth="1"/>
    <col min="13083" max="13083" width="5.5703125" style="208" customWidth="1"/>
    <col min="13084" max="13084" width="5.85546875" style="208" customWidth="1"/>
    <col min="13085" max="13085" width="5.42578125" style="208" customWidth="1"/>
    <col min="13086" max="13086" width="5.28515625" style="208" customWidth="1"/>
    <col min="13087" max="13312" width="9.140625" style="208"/>
    <col min="13313" max="13313" width="9.7109375" style="208" customWidth="1"/>
    <col min="13314" max="13314" width="29.42578125" style="208" customWidth="1"/>
    <col min="13315" max="13315" width="7.140625" style="208" customWidth="1"/>
    <col min="13316" max="13316" width="7.7109375" style="208" customWidth="1"/>
    <col min="13317" max="13317" width="5.5703125" style="208" customWidth="1"/>
    <col min="13318" max="13318" width="7.140625" style="208" customWidth="1"/>
    <col min="13319" max="13319" width="7" style="208" customWidth="1"/>
    <col min="13320" max="13320" width="6.7109375" style="208" customWidth="1"/>
    <col min="13321" max="13321" width="6.28515625" style="208" customWidth="1"/>
    <col min="13322" max="13323" width="7" style="208" customWidth="1"/>
    <col min="13324" max="13324" width="6.5703125" style="208" customWidth="1"/>
    <col min="13325" max="13325" width="4.85546875" style="208" customWidth="1"/>
    <col min="13326" max="13326" width="7.28515625" style="208" customWidth="1"/>
    <col min="13327" max="13328" width="6.28515625" style="208" customWidth="1"/>
    <col min="13329" max="13329" width="5.42578125" style="208" customWidth="1"/>
    <col min="13330" max="13330" width="6.5703125" style="208" customWidth="1"/>
    <col min="13331" max="13331" width="5.140625" style="208" customWidth="1"/>
    <col min="13332" max="13332" width="5" style="208" customWidth="1"/>
    <col min="13333" max="13333" width="4.7109375" style="208" customWidth="1"/>
    <col min="13334" max="13334" width="5.140625" style="208" customWidth="1"/>
    <col min="13335" max="13335" width="5.7109375" style="208" customWidth="1"/>
    <col min="13336" max="13336" width="6.140625" style="208" customWidth="1"/>
    <col min="13337" max="13337" width="4.7109375" style="208" customWidth="1"/>
    <col min="13338" max="13338" width="5.140625" style="208" customWidth="1"/>
    <col min="13339" max="13339" width="5.5703125" style="208" customWidth="1"/>
    <col min="13340" max="13340" width="5.85546875" style="208" customWidth="1"/>
    <col min="13341" max="13341" width="5.42578125" style="208" customWidth="1"/>
    <col min="13342" max="13342" width="5.28515625" style="208" customWidth="1"/>
    <col min="13343" max="13568" width="9.140625" style="208"/>
    <col min="13569" max="13569" width="9.7109375" style="208" customWidth="1"/>
    <col min="13570" max="13570" width="29.42578125" style="208" customWidth="1"/>
    <col min="13571" max="13571" width="7.140625" style="208" customWidth="1"/>
    <col min="13572" max="13572" width="7.7109375" style="208" customWidth="1"/>
    <col min="13573" max="13573" width="5.5703125" style="208" customWidth="1"/>
    <col min="13574" max="13574" width="7.140625" style="208" customWidth="1"/>
    <col min="13575" max="13575" width="7" style="208" customWidth="1"/>
    <col min="13576" max="13576" width="6.7109375" style="208" customWidth="1"/>
    <col min="13577" max="13577" width="6.28515625" style="208" customWidth="1"/>
    <col min="13578" max="13579" width="7" style="208" customWidth="1"/>
    <col min="13580" max="13580" width="6.5703125" style="208" customWidth="1"/>
    <col min="13581" max="13581" width="4.85546875" style="208" customWidth="1"/>
    <col min="13582" max="13582" width="7.28515625" style="208" customWidth="1"/>
    <col min="13583" max="13584" width="6.28515625" style="208" customWidth="1"/>
    <col min="13585" max="13585" width="5.42578125" style="208" customWidth="1"/>
    <col min="13586" max="13586" width="6.5703125" style="208" customWidth="1"/>
    <col min="13587" max="13587" width="5.140625" style="208" customWidth="1"/>
    <col min="13588" max="13588" width="5" style="208" customWidth="1"/>
    <col min="13589" max="13589" width="4.7109375" style="208" customWidth="1"/>
    <col min="13590" max="13590" width="5.140625" style="208" customWidth="1"/>
    <col min="13591" max="13591" width="5.7109375" style="208" customWidth="1"/>
    <col min="13592" max="13592" width="6.140625" style="208" customWidth="1"/>
    <col min="13593" max="13593" width="4.7109375" style="208" customWidth="1"/>
    <col min="13594" max="13594" width="5.140625" style="208" customWidth="1"/>
    <col min="13595" max="13595" width="5.5703125" style="208" customWidth="1"/>
    <col min="13596" max="13596" width="5.85546875" style="208" customWidth="1"/>
    <col min="13597" max="13597" width="5.42578125" style="208" customWidth="1"/>
    <col min="13598" max="13598" width="5.28515625" style="208" customWidth="1"/>
    <col min="13599" max="13824" width="9.140625" style="208"/>
    <col min="13825" max="13825" width="9.7109375" style="208" customWidth="1"/>
    <col min="13826" max="13826" width="29.42578125" style="208" customWidth="1"/>
    <col min="13827" max="13827" width="7.140625" style="208" customWidth="1"/>
    <col min="13828" max="13828" width="7.7109375" style="208" customWidth="1"/>
    <col min="13829" max="13829" width="5.5703125" style="208" customWidth="1"/>
    <col min="13830" max="13830" width="7.140625" style="208" customWidth="1"/>
    <col min="13831" max="13831" width="7" style="208" customWidth="1"/>
    <col min="13832" max="13832" width="6.7109375" style="208" customWidth="1"/>
    <col min="13833" max="13833" width="6.28515625" style="208" customWidth="1"/>
    <col min="13834" max="13835" width="7" style="208" customWidth="1"/>
    <col min="13836" max="13836" width="6.5703125" style="208" customWidth="1"/>
    <col min="13837" max="13837" width="4.85546875" style="208" customWidth="1"/>
    <col min="13838" max="13838" width="7.28515625" style="208" customWidth="1"/>
    <col min="13839" max="13840" width="6.28515625" style="208" customWidth="1"/>
    <col min="13841" max="13841" width="5.42578125" style="208" customWidth="1"/>
    <col min="13842" max="13842" width="6.5703125" style="208" customWidth="1"/>
    <col min="13843" max="13843" width="5.140625" style="208" customWidth="1"/>
    <col min="13844" max="13844" width="5" style="208" customWidth="1"/>
    <col min="13845" max="13845" width="4.7109375" style="208" customWidth="1"/>
    <col min="13846" max="13846" width="5.140625" style="208" customWidth="1"/>
    <col min="13847" max="13847" width="5.7109375" style="208" customWidth="1"/>
    <col min="13848" max="13848" width="6.140625" style="208" customWidth="1"/>
    <col min="13849" max="13849" width="4.7109375" style="208" customWidth="1"/>
    <col min="13850" max="13850" width="5.140625" style="208" customWidth="1"/>
    <col min="13851" max="13851" width="5.5703125" style="208" customWidth="1"/>
    <col min="13852" max="13852" width="5.85546875" style="208" customWidth="1"/>
    <col min="13853" max="13853" width="5.42578125" style="208" customWidth="1"/>
    <col min="13854" max="13854" width="5.28515625" style="208" customWidth="1"/>
    <col min="13855" max="14080" width="9.140625" style="208"/>
    <col min="14081" max="14081" width="9.7109375" style="208" customWidth="1"/>
    <col min="14082" max="14082" width="29.42578125" style="208" customWidth="1"/>
    <col min="14083" max="14083" width="7.140625" style="208" customWidth="1"/>
    <col min="14084" max="14084" width="7.7109375" style="208" customWidth="1"/>
    <col min="14085" max="14085" width="5.5703125" style="208" customWidth="1"/>
    <col min="14086" max="14086" width="7.140625" style="208" customWidth="1"/>
    <col min="14087" max="14087" width="7" style="208" customWidth="1"/>
    <col min="14088" max="14088" width="6.7109375" style="208" customWidth="1"/>
    <col min="14089" max="14089" width="6.28515625" style="208" customWidth="1"/>
    <col min="14090" max="14091" width="7" style="208" customWidth="1"/>
    <col min="14092" max="14092" width="6.5703125" style="208" customWidth="1"/>
    <col min="14093" max="14093" width="4.85546875" style="208" customWidth="1"/>
    <col min="14094" max="14094" width="7.28515625" style="208" customWidth="1"/>
    <col min="14095" max="14096" width="6.28515625" style="208" customWidth="1"/>
    <col min="14097" max="14097" width="5.42578125" style="208" customWidth="1"/>
    <col min="14098" max="14098" width="6.5703125" style="208" customWidth="1"/>
    <col min="14099" max="14099" width="5.140625" style="208" customWidth="1"/>
    <col min="14100" max="14100" width="5" style="208" customWidth="1"/>
    <col min="14101" max="14101" width="4.7109375" style="208" customWidth="1"/>
    <col min="14102" max="14102" width="5.140625" style="208" customWidth="1"/>
    <col min="14103" max="14103" width="5.7109375" style="208" customWidth="1"/>
    <col min="14104" max="14104" width="6.140625" style="208" customWidth="1"/>
    <col min="14105" max="14105" width="4.7109375" style="208" customWidth="1"/>
    <col min="14106" max="14106" width="5.140625" style="208" customWidth="1"/>
    <col min="14107" max="14107" width="5.5703125" style="208" customWidth="1"/>
    <col min="14108" max="14108" width="5.85546875" style="208" customWidth="1"/>
    <col min="14109" max="14109" width="5.42578125" style="208" customWidth="1"/>
    <col min="14110" max="14110" width="5.28515625" style="208" customWidth="1"/>
    <col min="14111" max="14336" width="9.140625" style="208"/>
    <col min="14337" max="14337" width="9.7109375" style="208" customWidth="1"/>
    <col min="14338" max="14338" width="29.42578125" style="208" customWidth="1"/>
    <col min="14339" max="14339" width="7.140625" style="208" customWidth="1"/>
    <col min="14340" max="14340" width="7.7109375" style="208" customWidth="1"/>
    <col min="14341" max="14341" width="5.5703125" style="208" customWidth="1"/>
    <col min="14342" max="14342" width="7.140625" style="208" customWidth="1"/>
    <col min="14343" max="14343" width="7" style="208" customWidth="1"/>
    <col min="14344" max="14344" width="6.7109375" style="208" customWidth="1"/>
    <col min="14345" max="14345" width="6.28515625" style="208" customWidth="1"/>
    <col min="14346" max="14347" width="7" style="208" customWidth="1"/>
    <col min="14348" max="14348" width="6.5703125" style="208" customWidth="1"/>
    <col min="14349" max="14349" width="4.85546875" style="208" customWidth="1"/>
    <col min="14350" max="14350" width="7.28515625" style="208" customWidth="1"/>
    <col min="14351" max="14352" width="6.28515625" style="208" customWidth="1"/>
    <col min="14353" max="14353" width="5.42578125" style="208" customWidth="1"/>
    <col min="14354" max="14354" width="6.5703125" style="208" customWidth="1"/>
    <col min="14355" max="14355" width="5.140625" style="208" customWidth="1"/>
    <col min="14356" max="14356" width="5" style="208" customWidth="1"/>
    <col min="14357" max="14357" width="4.7109375" style="208" customWidth="1"/>
    <col min="14358" max="14358" width="5.140625" style="208" customWidth="1"/>
    <col min="14359" max="14359" width="5.7109375" style="208" customWidth="1"/>
    <col min="14360" max="14360" width="6.140625" style="208" customWidth="1"/>
    <col min="14361" max="14361" width="4.7109375" style="208" customWidth="1"/>
    <col min="14362" max="14362" width="5.140625" style="208" customWidth="1"/>
    <col min="14363" max="14363" width="5.5703125" style="208" customWidth="1"/>
    <col min="14364" max="14364" width="5.85546875" style="208" customWidth="1"/>
    <col min="14365" max="14365" width="5.42578125" style="208" customWidth="1"/>
    <col min="14366" max="14366" width="5.28515625" style="208" customWidth="1"/>
    <col min="14367" max="14592" width="9.140625" style="208"/>
    <col min="14593" max="14593" width="9.7109375" style="208" customWidth="1"/>
    <col min="14594" max="14594" width="29.42578125" style="208" customWidth="1"/>
    <col min="14595" max="14595" width="7.140625" style="208" customWidth="1"/>
    <col min="14596" max="14596" width="7.7109375" style="208" customWidth="1"/>
    <col min="14597" max="14597" width="5.5703125" style="208" customWidth="1"/>
    <col min="14598" max="14598" width="7.140625" style="208" customWidth="1"/>
    <col min="14599" max="14599" width="7" style="208" customWidth="1"/>
    <col min="14600" max="14600" width="6.7109375" style="208" customWidth="1"/>
    <col min="14601" max="14601" width="6.28515625" style="208" customWidth="1"/>
    <col min="14602" max="14603" width="7" style="208" customWidth="1"/>
    <col min="14604" max="14604" width="6.5703125" style="208" customWidth="1"/>
    <col min="14605" max="14605" width="4.85546875" style="208" customWidth="1"/>
    <col min="14606" max="14606" width="7.28515625" style="208" customWidth="1"/>
    <col min="14607" max="14608" width="6.28515625" style="208" customWidth="1"/>
    <col min="14609" max="14609" width="5.42578125" style="208" customWidth="1"/>
    <col min="14610" max="14610" width="6.5703125" style="208" customWidth="1"/>
    <col min="14611" max="14611" width="5.140625" style="208" customWidth="1"/>
    <col min="14612" max="14612" width="5" style="208" customWidth="1"/>
    <col min="14613" max="14613" width="4.7109375" style="208" customWidth="1"/>
    <col min="14614" max="14614" width="5.140625" style="208" customWidth="1"/>
    <col min="14615" max="14615" width="5.7109375" style="208" customWidth="1"/>
    <col min="14616" max="14616" width="6.140625" style="208" customWidth="1"/>
    <col min="14617" max="14617" width="4.7109375" style="208" customWidth="1"/>
    <col min="14618" max="14618" width="5.140625" style="208" customWidth="1"/>
    <col min="14619" max="14619" width="5.5703125" style="208" customWidth="1"/>
    <col min="14620" max="14620" width="5.85546875" style="208" customWidth="1"/>
    <col min="14621" max="14621" width="5.42578125" style="208" customWidth="1"/>
    <col min="14622" max="14622" width="5.28515625" style="208" customWidth="1"/>
    <col min="14623" max="14848" width="9.140625" style="208"/>
    <col min="14849" max="14849" width="9.7109375" style="208" customWidth="1"/>
    <col min="14850" max="14850" width="29.42578125" style="208" customWidth="1"/>
    <col min="14851" max="14851" width="7.140625" style="208" customWidth="1"/>
    <col min="14852" max="14852" width="7.7109375" style="208" customWidth="1"/>
    <col min="14853" max="14853" width="5.5703125" style="208" customWidth="1"/>
    <col min="14854" max="14854" width="7.140625" style="208" customWidth="1"/>
    <col min="14855" max="14855" width="7" style="208" customWidth="1"/>
    <col min="14856" max="14856" width="6.7109375" style="208" customWidth="1"/>
    <col min="14857" max="14857" width="6.28515625" style="208" customWidth="1"/>
    <col min="14858" max="14859" width="7" style="208" customWidth="1"/>
    <col min="14860" max="14860" width="6.5703125" style="208" customWidth="1"/>
    <col min="14861" max="14861" width="4.85546875" style="208" customWidth="1"/>
    <col min="14862" max="14862" width="7.28515625" style="208" customWidth="1"/>
    <col min="14863" max="14864" width="6.28515625" style="208" customWidth="1"/>
    <col min="14865" max="14865" width="5.42578125" style="208" customWidth="1"/>
    <col min="14866" max="14866" width="6.5703125" style="208" customWidth="1"/>
    <col min="14867" max="14867" width="5.140625" style="208" customWidth="1"/>
    <col min="14868" max="14868" width="5" style="208" customWidth="1"/>
    <col min="14869" max="14869" width="4.7109375" style="208" customWidth="1"/>
    <col min="14870" max="14870" width="5.140625" style="208" customWidth="1"/>
    <col min="14871" max="14871" width="5.7109375" style="208" customWidth="1"/>
    <col min="14872" max="14872" width="6.140625" style="208" customWidth="1"/>
    <col min="14873" max="14873" width="4.7109375" style="208" customWidth="1"/>
    <col min="14874" max="14874" width="5.140625" style="208" customWidth="1"/>
    <col min="14875" max="14875" width="5.5703125" style="208" customWidth="1"/>
    <col min="14876" max="14876" width="5.85546875" style="208" customWidth="1"/>
    <col min="14877" max="14877" width="5.42578125" style="208" customWidth="1"/>
    <col min="14878" max="14878" width="5.28515625" style="208" customWidth="1"/>
    <col min="14879" max="15104" width="9.140625" style="208"/>
    <col min="15105" max="15105" width="9.7109375" style="208" customWidth="1"/>
    <col min="15106" max="15106" width="29.42578125" style="208" customWidth="1"/>
    <col min="15107" max="15107" width="7.140625" style="208" customWidth="1"/>
    <col min="15108" max="15108" width="7.7109375" style="208" customWidth="1"/>
    <col min="15109" max="15109" width="5.5703125" style="208" customWidth="1"/>
    <col min="15110" max="15110" width="7.140625" style="208" customWidth="1"/>
    <col min="15111" max="15111" width="7" style="208" customWidth="1"/>
    <col min="15112" max="15112" width="6.7109375" style="208" customWidth="1"/>
    <col min="15113" max="15113" width="6.28515625" style="208" customWidth="1"/>
    <col min="15114" max="15115" width="7" style="208" customWidth="1"/>
    <col min="15116" max="15116" width="6.5703125" style="208" customWidth="1"/>
    <col min="15117" max="15117" width="4.85546875" style="208" customWidth="1"/>
    <col min="15118" max="15118" width="7.28515625" style="208" customWidth="1"/>
    <col min="15119" max="15120" width="6.28515625" style="208" customWidth="1"/>
    <col min="15121" max="15121" width="5.42578125" style="208" customWidth="1"/>
    <col min="15122" max="15122" width="6.5703125" style="208" customWidth="1"/>
    <col min="15123" max="15123" width="5.140625" style="208" customWidth="1"/>
    <col min="15124" max="15124" width="5" style="208" customWidth="1"/>
    <col min="15125" max="15125" width="4.7109375" style="208" customWidth="1"/>
    <col min="15126" max="15126" width="5.140625" style="208" customWidth="1"/>
    <col min="15127" max="15127" width="5.7109375" style="208" customWidth="1"/>
    <col min="15128" max="15128" width="6.140625" style="208" customWidth="1"/>
    <col min="15129" max="15129" width="4.7109375" style="208" customWidth="1"/>
    <col min="15130" max="15130" width="5.140625" style="208" customWidth="1"/>
    <col min="15131" max="15131" width="5.5703125" style="208" customWidth="1"/>
    <col min="15132" max="15132" width="5.85546875" style="208" customWidth="1"/>
    <col min="15133" max="15133" width="5.42578125" style="208" customWidth="1"/>
    <col min="15134" max="15134" width="5.28515625" style="208" customWidth="1"/>
    <col min="15135" max="15360" width="9.140625" style="208"/>
    <col min="15361" max="15361" width="9.7109375" style="208" customWidth="1"/>
    <col min="15362" max="15362" width="29.42578125" style="208" customWidth="1"/>
    <col min="15363" max="15363" width="7.140625" style="208" customWidth="1"/>
    <col min="15364" max="15364" width="7.7109375" style="208" customWidth="1"/>
    <col min="15365" max="15365" width="5.5703125" style="208" customWidth="1"/>
    <col min="15366" max="15366" width="7.140625" style="208" customWidth="1"/>
    <col min="15367" max="15367" width="7" style="208" customWidth="1"/>
    <col min="15368" max="15368" width="6.7109375" style="208" customWidth="1"/>
    <col min="15369" max="15369" width="6.28515625" style="208" customWidth="1"/>
    <col min="15370" max="15371" width="7" style="208" customWidth="1"/>
    <col min="15372" max="15372" width="6.5703125" style="208" customWidth="1"/>
    <col min="15373" max="15373" width="4.85546875" style="208" customWidth="1"/>
    <col min="15374" max="15374" width="7.28515625" style="208" customWidth="1"/>
    <col min="15375" max="15376" width="6.28515625" style="208" customWidth="1"/>
    <col min="15377" max="15377" width="5.42578125" style="208" customWidth="1"/>
    <col min="15378" max="15378" width="6.5703125" style="208" customWidth="1"/>
    <col min="15379" max="15379" width="5.140625" style="208" customWidth="1"/>
    <col min="15380" max="15380" width="5" style="208" customWidth="1"/>
    <col min="15381" max="15381" width="4.7109375" style="208" customWidth="1"/>
    <col min="15382" max="15382" width="5.140625" style="208" customWidth="1"/>
    <col min="15383" max="15383" width="5.7109375" style="208" customWidth="1"/>
    <col min="15384" max="15384" width="6.140625" style="208" customWidth="1"/>
    <col min="15385" max="15385" width="4.7109375" style="208" customWidth="1"/>
    <col min="15386" max="15386" width="5.140625" style="208" customWidth="1"/>
    <col min="15387" max="15387" width="5.5703125" style="208" customWidth="1"/>
    <col min="15388" max="15388" width="5.85546875" style="208" customWidth="1"/>
    <col min="15389" max="15389" width="5.42578125" style="208" customWidth="1"/>
    <col min="15390" max="15390" width="5.28515625" style="208" customWidth="1"/>
    <col min="15391" max="15616" width="9.140625" style="208"/>
    <col min="15617" max="15617" width="9.7109375" style="208" customWidth="1"/>
    <col min="15618" max="15618" width="29.42578125" style="208" customWidth="1"/>
    <col min="15619" max="15619" width="7.140625" style="208" customWidth="1"/>
    <col min="15620" max="15620" width="7.7109375" style="208" customWidth="1"/>
    <col min="15621" max="15621" width="5.5703125" style="208" customWidth="1"/>
    <col min="15622" max="15622" width="7.140625" style="208" customWidth="1"/>
    <col min="15623" max="15623" width="7" style="208" customWidth="1"/>
    <col min="15624" max="15624" width="6.7109375" style="208" customWidth="1"/>
    <col min="15625" max="15625" width="6.28515625" style="208" customWidth="1"/>
    <col min="15626" max="15627" width="7" style="208" customWidth="1"/>
    <col min="15628" max="15628" width="6.5703125" style="208" customWidth="1"/>
    <col min="15629" max="15629" width="4.85546875" style="208" customWidth="1"/>
    <col min="15630" max="15630" width="7.28515625" style="208" customWidth="1"/>
    <col min="15631" max="15632" width="6.28515625" style="208" customWidth="1"/>
    <col min="15633" max="15633" width="5.42578125" style="208" customWidth="1"/>
    <col min="15634" max="15634" width="6.5703125" style="208" customWidth="1"/>
    <col min="15635" max="15635" width="5.140625" style="208" customWidth="1"/>
    <col min="15636" max="15636" width="5" style="208" customWidth="1"/>
    <col min="15637" max="15637" width="4.7109375" style="208" customWidth="1"/>
    <col min="15638" max="15638" width="5.140625" style="208" customWidth="1"/>
    <col min="15639" max="15639" width="5.7109375" style="208" customWidth="1"/>
    <col min="15640" max="15640" width="6.140625" style="208" customWidth="1"/>
    <col min="15641" max="15641" width="4.7109375" style="208" customWidth="1"/>
    <col min="15642" max="15642" width="5.140625" style="208" customWidth="1"/>
    <col min="15643" max="15643" width="5.5703125" style="208" customWidth="1"/>
    <col min="15644" max="15644" width="5.85546875" style="208" customWidth="1"/>
    <col min="15645" max="15645" width="5.42578125" style="208" customWidth="1"/>
    <col min="15646" max="15646" width="5.28515625" style="208" customWidth="1"/>
    <col min="15647" max="15872" width="9.140625" style="208"/>
    <col min="15873" max="15873" width="9.7109375" style="208" customWidth="1"/>
    <col min="15874" max="15874" width="29.42578125" style="208" customWidth="1"/>
    <col min="15875" max="15875" width="7.140625" style="208" customWidth="1"/>
    <col min="15876" max="15876" width="7.7109375" style="208" customWidth="1"/>
    <col min="15877" max="15877" width="5.5703125" style="208" customWidth="1"/>
    <col min="15878" max="15878" width="7.140625" style="208" customWidth="1"/>
    <col min="15879" max="15879" width="7" style="208" customWidth="1"/>
    <col min="15880" max="15880" width="6.7109375" style="208" customWidth="1"/>
    <col min="15881" max="15881" width="6.28515625" style="208" customWidth="1"/>
    <col min="15882" max="15883" width="7" style="208" customWidth="1"/>
    <col min="15884" max="15884" width="6.5703125" style="208" customWidth="1"/>
    <col min="15885" max="15885" width="4.85546875" style="208" customWidth="1"/>
    <col min="15886" max="15886" width="7.28515625" style="208" customWidth="1"/>
    <col min="15887" max="15888" width="6.28515625" style="208" customWidth="1"/>
    <col min="15889" max="15889" width="5.42578125" style="208" customWidth="1"/>
    <col min="15890" max="15890" width="6.5703125" style="208" customWidth="1"/>
    <col min="15891" max="15891" width="5.140625" style="208" customWidth="1"/>
    <col min="15892" max="15892" width="5" style="208" customWidth="1"/>
    <col min="15893" max="15893" width="4.7109375" style="208" customWidth="1"/>
    <col min="15894" max="15894" width="5.140625" style="208" customWidth="1"/>
    <col min="15895" max="15895" width="5.7109375" style="208" customWidth="1"/>
    <col min="15896" max="15896" width="6.140625" style="208" customWidth="1"/>
    <col min="15897" max="15897" width="4.7109375" style="208" customWidth="1"/>
    <col min="15898" max="15898" width="5.140625" style="208" customWidth="1"/>
    <col min="15899" max="15899" width="5.5703125" style="208" customWidth="1"/>
    <col min="15900" max="15900" width="5.85546875" style="208" customWidth="1"/>
    <col min="15901" max="15901" width="5.42578125" style="208" customWidth="1"/>
    <col min="15902" max="15902" width="5.28515625" style="208" customWidth="1"/>
    <col min="15903" max="16128" width="9.140625" style="208"/>
    <col min="16129" max="16129" width="9.7109375" style="208" customWidth="1"/>
    <col min="16130" max="16130" width="29.42578125" style="208" customWidth="1"/>
    <col min="16131" max="16131" width="7.140625" style="208" customWidth="1"/>
    <col min="16132" max="16132" width="7.7109375" style="208" customWidth="1"/>
    <col min="16133" max="16133" width="5.5703125" style="208" customWidth="1"/>
    <col min="16134" max="16134" width="7.140625" style="208" customWidth="1"/>
    <col min="16135" max="16135" width="7" style="208" customWidth="1"/>
    <col min="16136" max="16136" width="6.7109375" style="208" customWidth="1"/>
    <col min="16137" max="16137" width="6.28515625" style="208" customWidth="1"/>
    <col min="16138" max="16139" width="7" style="208" customWidth="1"/>
    <col min="16140" max="16140" width="6.5703125" style="208" customWidth="1"/>
    <col min="16141" max="16141" width="4.85546875" style="208" customWidth="1"/>
    <col min="16142" max="16142" width="7.28515625" style="208" customWidth="1"/>
    <col min="16143" max="16144" width="6.28515625" style="208" customWidth="1"/>
    <col min="16145" max="16145" width="5.42578125" style="208" customWidth="1"/>
    <col min="16146" max="16146" width="6.5703125" style="208" customWidth="1"/>
    <col min="16147" max="16147" width="5.140625" style="208" customWidth="1"/>
    <col min="16148" max="16148" width="5" style="208" customWidth="1"/>
    <col min="16149" max="16149" width="4.7109375" style="208" customWidth="1"/>
    <col min="16150" max="16150" width="5.140625" style="208" customWidth="1"/>
    <col min="16151" max="16151" width="5.7109375" style="208" customWidth="1"/>
    <col min="16152" max="16152" width="6.140625" style="208" customWidth="1"/>
    <col min="16153" max="16153" width="4.7109375" style="208" customWidth="1"/>
    <col min="16154" max="16154" width="5.140625" style="208" customWidth="1"/>
    <col min="16155" max="16155" width="5.5703125" style="208" customWidth="1"/>
    <col min="16156" max="16156" width="5.85546875" style="208" customWidth="1"/>
    <col min="16157" max="16157" width="5.42578125" style="208" customWidth="1"/>
    <col min="16158" max="16158" width="5.28515625" style="208" customWidth="1"/>
    <col min="16159" max="16384" width="9.140625" style="208"/>
  </cols>
  <sheetData>
    <row r="1" spans="1:31">
      <c r="P1" s="318" t="s">
        <v>372</v>
      </c>
      <c r="Q1" s="318"/>
      <c r="R1" s="318"/>
    </row>
    <row r="2" spans="1:31">
      <c r="B2" s="205"/>
      <c r="C2" s="317" t="s">
        <v>371</v>
      </c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</row>
    <row r="3" spans="1:31">
      <c r="B3" s="205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</row>
    <row r="4" spans="1:31"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</row>
    <row r="5" spans="1:31">
      <c r="Q5" s="319" t="s">
        <v>267</v>
      </c>
      <c r="R5" s="319"/>
      <c r="AC5" s="319"/>
      <c r="AD5" s="319"/>
    </row>
    <row r="6" spans="1:31">
      <c r="A6" s="320" t="s">
        <v>373</v>
      </c>
      <c r="B6" s="321" t="s">
        <v>374</v>
      </c>
      <c r="C6" s="322" t="s">
        <v>268</v>
      </c>
      <c r="D6" s="322"/>
      <c r="E6" s="322"/>
      <c r="F6" s="322"/>
      <c r="G6" s="322" t="s">
        <v>269</v>
      </c>
      <c r="H6" s="322"/>
      <c r="I6" s="322"/>
      <c r="J6" s="322"/>
      <c r="K6" s="322" t="s">
        <v>375</v>
      </c>
      <c r="L6" s="322"/>
      <c r="M6" s="322"/>
      <c r="N6" s="322"/>
      <c r="O6" s="322" t="s">
        <v>376</v>
      </c>
      <c r="P6" s="322"/>
      <c r="Q6" s="322"/>
      <c r="R6" s="322"/>
    </row>
    <row r="7" spans="1:31">
      <c r="A7" s="320"/>
      <c r="B7" s="321"/>
      <c r="C7" s="321">
        <v>2012</v>
      </c>
      <c r="D7" s="321">
        <v>2013</v>
      </c>
      <c r="E7" s="322" t="s">
        <v>273</v>
      </c>
      <c r="F7" s="322"/>
      <c r="G7" s="321">
        <v>2012</v>
      </c>
      <c r="H7" s="321">
        <v>2013</v>
      </c>
      <c r="I7" s="322" t="s">
        <v>273</v>
      </c>
      <c r="J7" s="322"/>
      <c r="K7" s="321">
        <v>2012</v>
      </c>
      <c r="L7" s="321">
        <v>2013</v>
      </c>
      <c r="M7" s="322" t="s">
        <v>273</v>
      </c>
      <c r="N7" s="322"/>
      <c r="O7" s="321">
        <v>2012</v>
      </c>
      <c r="P7" s="321">
        <v>2013</v>
      </c>
      <c r="Q7" s="322" t="s">
        <v>273</v>
      </c>
      <c r="R7" s="322"/>
    </row>
    <row r="8" spans="1:31">
      <c r="A8" s="320"/>
      <c r="B8" s="321"/>
      <c r="C8" s="321"/>
      <c r="D8" s="321"/>
      <c r="E8" s="206" t="s">
        <v>275</v>
      </c>
      <c r="F8" s="206" t="s">
        <v>276</v>
      </c>
      <c r="G8" s="321"/>
      <c r="H8" s="321"/>
      <c r="I8" s="206" t="s">
        <v>275</v>
      </c>
      <c r="J8" s="206" t="s">
        <v>276</v>
      </c>
      <c r="K8" s="321"/>
      <c r="L8" s="321"/>
      <c r="M8" s="206" t="s">
        <v>275</v>
      </c>
      <c r="N8" s="206" t="s">
        <v>276</v>
      </c>
      <c r="O8" s="321"/>
      <c r="P8" s="321"/>
      <c r="Q8" s="206" t="s">
        <v>275</v>
      </c>
      <c r="R8" s="206" t="s">
        <v>276</v>
      </c>
    </row>
    <row r="9" spans="1:31" ht="18" customHeight="1">
      <c r="A9" s="122" t="s">
        <v>377</v>
      </c>
      <c r="B9" s="209" t="s">
        <v>378</v>
      </c>
      <c r="C9" s="207">
        <f t="shared" ref="C9:D19" si="0">+G9+K9+O9+C25+G25+K25</f>
        <v>64958.700000000004</v>
      </c>
      <c r="D9" s="207">
        <f t="shared" si="0"/>
        <v>64285.8</v>
      </c>
      <c r="E9" s="207">
        <f>+D9/C9*100</f>
        <v>98.964111042862612</v>
      </c>
      <c r="F9" s="207">
        <f>+D9-C9</f>
        <v>-672.90000000000146</v>
      </c>
      <c r="G9" s="210">
        <v>21433.4</v>
      </c>
      <c r="H9" s="210">
        <v>22422.799999999999</v>
      </c>
      <c r="I9" s="207">
        <v>104.61615982531936</v>
      </c>
      <c r="J9" s="207">
        <v>989.39999999999782</v>
      </c>
      <c r="K9" s="210">
        <v>40502</v>
      </c>
      <c r="L9" s="210">
        <v>38916.699999999997</v>
      </c>
      <c r="M9" s="207">
        <v>96.08587230260234</v>
      </c>
      <c r="N9" s="207">
        <v>-1585.3000000000029</v>
      </c>
      <c r="O9" s="210">
        <v>0</v>
      </c>
      <c r="P9" s="210">
        <v>0</v>
      </c>
      <c r="Q9" s="207"/>
      <c r="R9" s="207"/>
    </row>
    <row r="10" spans="1:31">
      <c r="A10" s="122" t="s">
        <v>379</v>
      </c>
      <c r="B10" s="211" t="s">
        <v>380</v>
      </c>
      <c r="C10" s="207">
        <f t="shared" si="0"/>
        <v>545.30000000000007</v>
      </c>
      <c r="D10" s="207">
        <f t="shared" si="0"/>
        <v>598.70000000000005</v>
      </c>
      <c r="E10" s="207">
        <f t="shared" ref="E10:E19" si="1">+D10/C10*100</f>
        <v>109.79277461947552</v>
      </c>
      <c r="F10" s="207">
        <f t="shared" ref="F10:F19" si="2">+D10-C10</f>
        <v>53.399999999999977</v>
      </c>
      <c r="G10" s="210">
        <v>494.1</v>
      </c>
      <c r="H10" s="210">
        <v>522.6</v>
      </c>
      <c r="I10" s="207">
        <v>105.76806314511234</v>
      </c>
      <c r="J10" s="207">
        <v>28.5</v>
      </c>
      <c r="K10" s="210">
        <v>0</v>
      </c>
      <c r="L10" s="210">
        <v>0</v>
      </c>
      <c r="M10" s="207"/>
      <c r="N10" s="207"/>
      <c r="O10" s="210">
        <v>0</v>
      </c>
      <c r="P10" s="210">
        <v>0</v>
      </c>
      <c r="Q10" s="207"/>
      <c r="R10" s="207"/>
    </row>
    <row r="11" spans="1:31">
      <c r="A11" s="122" t="s">
        <v>381</v>
      </c>
      <c r="B11" s="211" t="s">
        <v>382</v>
      </c>
      <c r="C11" s="207">
        <f t="shared" si="0"/>
        <v>26564.400000000001</v>
      </c>
      <c r="D11" s="207">
        <f t="shared" si="0"/>
        <v>23790.7</v>
      </c>
      <c r="E11" s="207">
        <f t="shared" si="1"/>
        <v>89.558582162593552</v>
      </c>
      <c r="F11" s="207">
        <f t="shared" si="2"/>
        <v>-2773.7000000000007</v>
      </c>
      <c r="G11" s="210">
        <v>7796.4</v>
      </c>
      <c r="H11" s="210">
        <v>8066.5</v>
      </c>
      <c r="I11" s="207">
        <v>103.46441947565543</v>
      </c>
      <c r="J11" s="207">
        <v>270.10000000000036</v>
      </c>
      <c r="K11" s="210">
        <v>0</v>
      </c>
      <c r="L11" s="210">
        <v>0</v>
      </c>
      <c r="M11" s="207"/>
      <c r="N11" s="207"/>
      <c r="O11" s="210">
        <v>17749.400000000001</v>
      </c>
      <c r="P11" s="210">
        <v>14717.9</v>
      </c>
      <c r="Q11" s="207">
        <v>82.920549427022877</v>
      </c>
      <c r="R11" s="207">
        <v>-3031.5000000000018</v>
      </c>
    </row>
    <row r="12" spans="1:31">
      <c r="A12" s="122" t="s">
        <v>383</v>
      </c>
      <c r="B12" s="211" t="s">
        <v>384</v>
      </c>
      <c r="C12" s="207">
        <f t="shared" si="0"/>
        <v>698</v>
      </c>
      <c r="D12" s="207">
        <f t="shared" si="0"/>
        <v>639.70000000000005</v>
      </c>
      <c r="E12" s="207">
        <f t="shared" si="1"/>
        <v>91.647564469914045</v>
      </c>
      <c r="F12" s="207">
        <f t="shared" si="2"/>
        <v>-58.299999999999955</v>
      </c>
      <c r="G12" s="210">
        <v>698</v>
      </c>
      <c r="H12" s="210">
        <v>639.70000000000005</v>
      </c>
      <c r="I12" s="207">
        <v>91.647564469914045</v>
      </c>
      <c r="J12" s="207">
        <v>-58.299999999999955</v>
      </c>
      <c r="K12" s="210">
        <v>0</v>
      </c>
      <c r="L12" s="210">
        <v>0</v>
      </c>
      <c r="M12" s="207"/>
      <c r="N12" s="207"/>
      <c r="O12" s="210">
        <v>0</v>
      </c>
      <c r="P12" s="210">
        <v>0</v>
      </c>
      <c r="Q12" s="207"/>
      <c r="R12" s="207"/>
    </row>
    <row r="13" spans="1:31">
      <c r="A13" s="122" t="s">
        <v>385</v>
      </c>
      <c r="B13" s="211" t="s">
        <v>386</v>
      </c>
      <c r="C13" s="207">
        <f t="shared" si="0"/>
        <v>4842.7</v>
      </c>
      <c r="D13" s="207">
        <f t="shared" si="0"/>
        <v>4573.4000000000005</v>
      </c>
      <c r="E13" s="207">
        <f t="shared" si="1"/>
        <v>94.439052594626986</v>
      </c>
      <c r="F13" s="207">
        <f t="shared" si="2"/>
        <v>-269.29999999999927</v>
      </c>
      <c r="G13" s="210">
        <v>4660.8</v>
      </c>
      <c r="H13" s="210">
        <v>4421.8</v>
      </c>
      <c r="I13" s="207">
        <v>94.872124957088914</v>
      </c>
      <c r="J13" s="207">
        <v>-239</v>
      </c>
      <c r="K13" s="210">
        <v>0</v>
      </c>
      <c r="L13" s="210">
        <v>0</v>
      </c>
      <c r="M13" s="207"/>
      <c r="N13" s="207"/>
      <c r="O13" s="210">
        <v>0</v>
      </c>
      <c r="P13" s="210">
        <v>0</v>
      </c>
      <c r="Q13" s="207"/>
      <c r="R13" s="207"/>
    </row>
    <row r="14" spans="1:31" ht="25.5">
      <c r="A14" s="122" t="s">
        <v>387</v>
      </c>
      <c r="B14" s="211" t="s">
        <v>388</v>
      </c>
      <c r="C14" s="207">
        <f t="shared" si="0"/>
        <v>48</v>
      </c>
      <c r="D14" s="207">
        <f t="shared" si="0"/>
        <v>50</v>
      </c>
      <c r="E14" s="207">
        <f t="shared" si="1"/>
        <v>104.16666666666667</v>
      </c>
      <c r="F14" s="207">
        <f t="shared" si="2"/>
        <v>2</v>
      </c>
      <c r="G14" s="210">
        <v>48</v>
      </c>
      <c r="H14" s="210">
        <v>50</v>
      </c>
      <c r="I14" s="207">
        <v>104.16666666666667</v>
      </c>
      <c r="J14" s="207">
        <v>2</v>
      </c>
      <c r="K14" s="210">
        <v>0</v>
      </c>
      <c r="L14" s="210">
        <v>0</v>
      </c>
      <c r="M14" s="207"/>
      <c r="N14" s="207"/>
      <c r="O14" s="210">
        <v>0</v>
      </c>
      <c r="P14" s="210">
        <v>0</v>
      </c>
      <c r="Q14" s="207"/>
      <c r="R14" s="207"/>
    </row>
    <row r="15" spans="1:31" ht="25.5">
      <c r="A15" s="122" t="s">
        <v>389</v>
      </c>
      <c r="B15" s="211" t="s">
        <v>390</v>
      </c>
      <c r="C15" s="207">
        <f t="shared" si="0"/>
        <v>12208.4</v>
      </c>
      <c r="D15" s="207">
        <f t="shared" si="0"/>
        <v>11755.7</v>
      </c>
      <c r="E15" s="207">
        <f t="shared" si="1"/>
        <v>96.291897382130344</v>
      </c>
      <c r="F15" s="207">
        <f t="shared" si="2"/>
        <v>-452.69999999999891</v>
      </c>
      <c r="G15" s="210">
        <v>10668.4</v>
      </c>
      <c r="H15" s="210">
        <v>10005.700000000001</v>
      </c>
      <c r="I15" s="207">
        <v>93.788196918000835</v>
      </c>
      <c r="J15" s="207">
        <v>-662.69999999999891</v>
      </c>
      <c r="K15" s="210">
        <v>1540</v>
      </c>
      <c r="L15" s="210">
        <v>1750</v>
      </c>
      <c r="M15" s="207"/>
      <c r="N15" s="207">
        <v>210</v>
      </c>
      <c r="O15" s="210">
        <v>0</v>
      </c>
      <c r="P15" s="210">
        <v>0</v>
      </c>
      <c r="Q15" s="207"/>
      <c r="R15" s="207"/>
    </row>
    <row r="16" spans="1:31">
      <c r="A16" s="122" t="s">
        <v>391</v>
      </c>
      <c r="B16" s="211" t="s">
        <v>392</v>
      </c>
      <c r="C16" s="207">
        <f t="shared" si="0"/>
        <v>6860.1</v>
      </c>
      <c r="D16" s="207">
        <f t="shared" si="0"/>
        <v>7066.9</v>
      </c>
      <c r="E16" s="207">
        <f t="shared" si="1"/>
        <v>103.01453331584088</v>
      </c>
      <c r="F16" s="207">
        <f t="shared" si="2"/>
        <v>206.79999999999927</v>
      </c>
      <c r="G16" s="210">
        <v>6799.5</v>
      </c>
      <c r="H16" s="210">
        <v>6986.2</v>
      </c>
      <c r="I16" s="207">
        <v>102.74579013162733</v>
      </c>
      <c r="J16" s="207">
        <v>186.69999999999982</v>
      </c>
      <c r="K16" s="210">
        <v>0</v>
      </c>
      <c r="L16" s="210">
        <v>0</v>
      </c>
      <c r="M16" s="207"/>
      <c r="N16" s="207"/>
      <c r="O16" s="210">
        <v>0</v>
      </c>
      <c r="P16" s="210">
        <v>0</v>
      </c>
      <c r="Q16" s="207"/>
      <c r="R16" s="207"/>
    </row>
    <row r="17" spans="1:30">
      <c r="A17" s="122" t="s">
        <v>393</v>
      </c>
      <c r="B17" s="211" t="s">
        <v>394</v>
      </c>
      <c r="C17" s="207">
        <f t="shared" si="0"/>
        <v>1490</v>
      </c>
      <c r="D17" s="207">
        <f t="shared" si="0"/>
        <v>1486.6</v>
      </c>
      <c r="E17" s="207">
        <f t="shared" si="1"/>
        <v>99.771812080536904</v>
      </c>
      <c r="F17" s="207">
        <f t="shared" si="2"/>
        <v>-3.4000000000000909</v>
      </c>
      <c r="G17" s="210">
        <v>0</v>
      </c>
      <c r="H17" s="210">
        <v>0</v>
      </c>
      <c r="I17" s="207"/>
      <c r="J17" s="207"/>
      <c r="K17" s="210">
        <v>0</v>
      </c>
      <c r="L17" s="210">
        <v>0</v>
      </c>
      <c r="M17" s="207"/>
      <c r="N17" s="207"/>
      <c r="O17" s="210">
        <v>1490</v>
      </c>
      <c r="P17" s="210">
        <v>1486.6</v>
      </c>
      <c r="Q17" s="207">
        <v>99.771812080536904</v>
      </c>
      <c r="R17" s="207">
        <v>-3.4000000000000909</v>
      </c>
    </row>
    <row r="18" spans="1:30">
      <c r="A18" s="122" t="s">
        <v>395</v>
      </c>
      <c r="B18" s="211" t="s">
        <v>396</v>
      </c>
      <c r="C18" s="207">
        <f t="shared" si="0"/>
        <v>40</v>
      </c>
      <c r="D18" s="207">
        <f t="shared" si="0"/>
        <v>47</v>
      </c>
      <c r="E18" s="207">
        <f t="shared" si="1"/>
        <v>117.5</v>
      </c>
      <c r="F18" s="207">
        <f t="shared" si="2"/>
        <v>7</v>
      </c>
      <c r="G18" s="210">
        <v>40</v>
      </c>
      <c r="H18" s="210">
        <v>47</v>
      </c>
      <c r="I18" s="207">
        <v>117.5</v>
      </c>
      <c r="J18" s="207">
        <v>7</v>
      </c>
      <c r="K18" s="210">
        <v>0</v>
      </c>
      <c r="L18" s="210">
        <v>0</v>
      </c>
      <c r="M18" s="207"/>
      <c r="N18" s="207"/>
      <c r="O18" s="210">
        <v>0</v>
      </c>
      <c r="P18" s="210">
        <v>0</v>
      </c>
      <c r="Q18" s="207"/>
      <c r="R18" s="207"/>
    </row>
    <row r="19" spans="1:30" ht="25.5">
      <c r="A19" s="122" t="s">
        <v>397</v>
      </c>
      <c r="B19" s="211" t="s">
        <v>398</v>
      </c>
      <c r="C19" s="207">
        <f t="shared" si="0"/>
        <v>13647.7</v>
      </c>
      <c r="D19" s="207">
        <f t="shared" si="0"/>
        <v>16647.2</v>
      </c>
      <c r="E19" s="207">
        <f t="shared" si="1"/>
        <v>121.97806223759315</v>
      </c>
      <c r="F19" s="207">
        <f t="shared" si="2"/>
        <v>2999.5</v>
      </c>
      <c r="G19" s="210">
        <v>10544.7</v>
      </c>
      <c r="H19" s="210">
        <v>13220.4</v>
      </c>
      <c r="I19" s="207">
        <v>125.37483285441975</v>
      </c>
      <c r="J19" s="207">
        <v>2675.6999999999989</v>
      </c>
      <c r="K19" s="210">
        <v>0</v>
      </c>
      <c r="L19" s="210">
        <v>0</v>
      </c>
      <c r="M19" s="207"/>
      <c r="N19" s="207"/>
      <c r="O19" s="210">
        <v>2806.1</v>
      </c>
      <c r="P19" s="210">
        <v>3148.4</v>
      </c>
      <c r="Q19" s="207">
        <v>112.19842486012617</v>
      </c>
      <c r="R19" s="207">
        <v>342.30000000000018</v>
      </c>
    </row>
    <row r="20" spans="1:30">
      <c r="A20" s="212"/>
      <c r="B20" s="213" t="s">
        <v>105</v>
      </c>
      <c r="C20" s="207">
        <f>SUM(C9:C19)</f>
        <v>131903.30000000002</v>
      </c>
      <c r="D20" s="207">
        <f>SUM(D9:D19)</f>
        <v>130941.69999999998</v>
      </c>
      <c r="E20" s="207">
        <f>+D20/C20*100</f>
        <v>99.270981089934793</v>
      </c>
      <c r="F20" s="207">
        <f>SUM(F9:F19)</f>
        <v>-961.60000000000082</v>
      </c>
      <c r="G20" s="207">
        <f>SUM(G9:G19)</f>
        <v>63183.3</v>
      </c>
      <c r="H20" s="207">
        <f>SUM(H9:H19)</f>
        <v>66382.7</v>
      </c>
      <c r="I20" s="207">
        <f>+H20/G20*100</f>
        <v>105.06367980146652</v>
      </c>
      <c r="J20" s="207">
        <f t="shared" ref="J20:P20" si="3">SUM(J9:J19)</f>
        <v>3199.3999999999978</v>
      </c>
      <c r="K20" s="207">
        <f t="shared" si="3"/>
        <v>42042</v>
      </c>
      <c r="L20" s="207">
        <f>SUM(L9:L19)</f>
        <v>40666.699999999997</v>
      </c>
      <c r="M20" s="207">
        <f>+L20/K20*100</f>
        <v>96.728747443033143</v>
      </c>
      <c r="N20" s="207">
        <f t="shared" si="3"/>
        <v>-1375.3000000000029</v>
      </c>
      <c r="O20" s="207">
        <f t="shared" si="3"/>
        <v>22045.5</v>
      </c>
      <c r="P20" s="207">
        <f t="shared" si="3"/>
        <v>19352.900000000001</v>
      </c>
      <c r="Q20" s="207">
        <f>+P20/O20*100</f>
        <v>87.786169513052556</v>
      </c>
      <c r="R20" s="207">
        <f>SUM(R9:R19)</f>
        <v>-2692.6000000000017</v>
      </c>
    </row>
    <row r="22" spans="1:30">
      <c r="A22" s="320" t="s">
        <v>373</v>
      </c>
      <c r="B22" s="321" t="s">
        <v>374</v>
      </c>
      <c r="C22" s="322" t="s">
        <v>399</v>
      </c>
      <c r="D22" s="322"/>
      <c r="E22" s="322"/>
      <c r="F22" s="322"/>
      <c r="G22" s="322" t="s">
        <v>400</v>
      </c>
      <c r="H22" s="322"/>
      <c r="I22" s="322"/>
      <c r="J22" s="322"/>
      <c r="K22" s="322" t="s">
        <v>401</v>
      </c>
      <c r="L22" s="322"/>
      <c r="M22" s="322"/>
      <c r="N22" s="322"/>
      <c r="P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</row>
    <row r="23" spans="1:30">
      <c r="A23" s="320"/>
      <c r="B23" s="321"/>
      <c r="C23" s="321">
        <v>2012</v>
      </c>
      <c r="D23" s="321">
        <v>2013</v>
      </c>
      <c r="E23" s="322" t="s">
        <v>273</v>
      </c>
      <c r="F23" s="322"/>
      <c r="G23" s="321">
        <v>2012</v>
      </c>
      <c r="H23" s="321">
        <v>2013</v>
      </c>
      <c r="I23" s="322" t="s">
        <v>273</v>
      </c>
      <c r="J23" s="322"/>
      <c r="K23" s="321">
        <v>2012</v>
      </c>
      <c r="L23" s="321">
        <v>2013</v>
      </c>
      <c r="M23" s="322" t="s">
        <v>273</v>
      </c>
      <c r="N23" s="322"/>
      <c r="O23" s="215"/>
      <c r="V23" s="215"/>
      <c r="Z23" s="216"/>
      <c r="AD23" s="215"/>
    </row>
    <row r="24" spans="1:30">
      <c r="A24" s="320"/>
      <c r="B24" s="321"/>
      <c r="C24" s="321"/>
      <c r="D24" s="321"/>
      <c r="E24" s="206" t="s">
        <v>275</v>
      </c>
      <c r="F24" s="206" t="s">
        <v>276</v>
      </c>
      <c r="G24" s="321"/>
      <c r="H24" s="321"/>
      <c r="I24" s="206" t="s">
        <v>275</v>
      </c>
      <c r="J24" s="206" t="s">
        <v>276</v>
      </c>
      <c r="K24" s="321"/>
      <c r="L24" s="321"/>
      <c r="M24" s="206" t="s">
        <v>275</v>
      </c>
      <c r="N24" s="206" t="s">
        <v>276</v>
      </c>
      <c r="P24" s="215"/>
    </row>
    <row r="25" spans="1:30">
      <c r="A25" s="122" t="s">
        <v>377</v>
      </c>
      <c r="B25" s="209" t="s">
        <v>378</v>
      </c>
      <c r="C25" s="210">
        <v>126.9</v>
      </c>
      <c r="D25" s="210">
        <v>117.9</v>
      </c>
      <c r="E25" s="207">
        <v>92.907801418439718</v>
      </c>
      <c r="F25" s="207">
        <v>-9</v>
      </c>
      <c r="G25" s="210">
        <v>984.6</v>
      </c>
      <c r="H25" s="210">
        <v>905.9</v>
      </c>
      <c r="I25" s="207">
        <v>92.006906357911831</v>
      </c>
      <c r="J25" s="207">
        <v>-78.700000000000045</v>
      </c>
      <c r="K25" s="210">
        <v>1911.8</v>
      </c>
      <c r="L25" s="210">
        <v>1922.5</v>
      </c>
      <c r="M25" s="207">
        <v>100.55968197510201</v>
      </c>
      <c r="N25" s="207">
        <v>10.700000000000045</v>
      </c>
    </row>
    <row r="26" spans="1:30">
      <c r="A26" s="122" t="s">
        <v>379</v>
      </c>
      <c r="B26" s="211" t="s">
        <v>380</v>
      </c>
      <c r="C26" s="210">
        <v>0</v>
      </c>
      <c r="D26" s="210">
        <v>0</v>
      </c>
      <c r="E26" s="207"/>
      <c r="F26" s="207"/>
      <c r="G26" s="210">
        <v>51.2</v>
      </c>
      <c r="H26" s="210">
        <v>76.099999999999994</v>
      </c>
      <c r="I26" s="207">
        <v>148.63281249999997</v>
      </c>
      <c r="J26" s="207">
        <v>24.899999999999991</v>
      </c>
      <c r="K26" s="210">
        <v>0</v>
      </c>
      <c r="L26" s="210">
        <v>0</v>
      </c>
      <c r="M26" s="207"/>
      <c r="N26" s="207"/>
    </row>
    <row r="27" spans="1:30">
      <c r="A27" s="122" t="s">
        <v>381</v>
      </c>
      <c r="B27" s="211" t="s">
        <v>382</v>
      </c>
      <c r="C27" s="210">
        <v>0</v>
      </c>
      <c r="D27" s="210">
        <v>0</v>
      </c>
      <c r="E27" s="207"/>
      <c r="F27" s="207"/>
      <c r="G27" s="210">
        <v>29</v>
      </c>
      <c r="H27" s="210">
        <v>25.7</v>
      </c>
      <c r="I27" s="207">
        <v>88.620689655172413</v>
      </c>
      <c r="J27" s="207">
        <v>-3.3000000000000007</v>
      </c>
      <c r="K27" s="210">
        <v>989.6</v>
      </c>
      <c r="L27" s="210">
        <v>980.6</v>
      </c>
      <c r="M27" s="207">
        <v>99.090541632983019</v>
      </c>
      <c r="N27" s="207">
        <v>-9</v>
      </c>
    </row>
    <row r="28" spans="1:30">
      <c r="A28" s="122" t="s">
        <v>383</v>
      </c>
      <c r="B28" s="211" t="s">
        <v>384</v>
      </c>
      <c r="C28" s="210">
        <v>0</v>
      </c>
      <c r="D28" s="210">
        <v>0</v>
      </c>
      <c r="E28" s="207"/>
      <c r="F28" s="207"/>
      <c r="G28" s="210">
        <v>0</v>
      </c>
      <c r="H28" s="210">
        <v>0</v>
      </c>
      <c r="I28" s="207"/>
      <c r="J28" s="207"/>
      <c r="K28" s="210">
        <v>0</v>
      </c>
      <c r="L28" s="210">
        <v>0</v>
      </c>
      <c r="M28" s="207"/>
      <c r="N28" s="207"/>
    </row>
    <row r="29" spans="1:30">
      <c r="A29" s="122" t="s">
        <v>385</v>
      </c>
      <c r="B29" s="211" t="s">
        <v>386</v>
      </c>
      <c r="C29" s="210">
        <v>35.5</v>
      </c>
      <c r="D29" s="210">
        <v>38.5</v>
      </c>
      <c r="E29" s="207">
        <v>108.45070422535213</v>
      </c>
      <c r="F29" s="207">
        <v>3</v>
      </c>
      <c r="G29" s="210">
        <v>146.4</v>
      </c>
      <c r="H29" s="210">
        <v>113.1</v>
      </c>
      <c r="I29" s="207">
        <v>77.254098360655732</v>
      </c>
      <c r="J29" s="207">
        <v>-33.300000000000011</v>
      </c>
      <c r="K29" s="210">
        <v>0</v>
      </c>
      <c r="L29" s="210">
        <v>0</v>
      </c>
      <c r="M29" s="207"/>
      <c r="N29" s="207"/>
    </row>
    <row r="30" spans="1:30" ht="25.5">
      <c r="A30" s="122" t="s">
        <v>387</v>
      </c>
      <c r="B30" s="211" t="s">
        <v>388</v>
      </c>
      <c r="C30" s="210">
        <v>0</v>
      </c>
      <c r="D30" s="210">
        <v>0</v>
      </c>
      <c r="E30" s="207"/>
      <c r="F30" s="207"/>
      <c r="G30" s="210">
        <v>0</v>
      </c>
      <c r="H30" s="210">
        <v>0</v>
      </c>
      <c r="I30" s="207"/>
      <c r="J30" s="207"/>
      <c r="K30" s="210">
        <v>0</v>
      </c>
      <c r="L30" s="210">
        <v>0</v>
      </c>
      <c r="M30" s="207"/>
      <c r="N30" s="207"/>
    </row>
    <row r="31" spans="1:30" ht="25.5">
      <c r="A31" s="122" t="s">
        <v>389</v>
      </c>
      <c r="B31" s="211" t="s">
        <v>390</v>
      </c>
      <c r="C31" s="210">
        <v>0</v>
      </c>
      <c r="D31" s="210">
        <v>0</v>
      </c>
      <c r="E31" s="207"/>
      <c r="F31" s="207"/>
      <c r="G31" s="210">
        <v>0</v>
      </c>
      <c r="H31" s="210">
        <v>0</v>
      </c>
      <c r="I31" s="207"/>
      <c r="J31" s="207"/>
      <c r="K31" s="210">
        <v>0</v>
      </c>
      <c r="L31" s="210">
        <v>0</v>
      </c>
      <c r="M31" s="207"/>
      <c r="N31" s="207"/>
    </row>
    <row r="32" spans="1:30">
      <c r="A32" s="122" t="s">
        <v>391</v>
      </c>
      <c r="B32" s="211" t="s">
        <v>392</v>
      </c>
      <c r="C32" s="210">
        <v>0</v>
      </c>
      <c r="D32" s="210">
        <v>0</v>
      </c>
      <c r="E32" s="207"/>
      <c r="F32" s="207"/>
      <c r="G32" s="210">
        <v>60.6</v>
      </c>
      <c r="H32" s="210">
        <v>80.7</v>
      </c>
      <c r="I32" s="207">
        <v>133.16831683168317</v>
      </c>
      <c r="J32" s="207">
        <v>20.100000000000001</v>
      </c>
      <c r="K32" s="210">
        <v>0</v>
      </c>
      <c r="L32" s="210">
        <v>0</v>
      </c>
      <c r="M32" s="207"/>
      <c r="N32" s="207"/>
    </row>
    <row r="33" spans="1:14">
      <c r="A33" s="122" t="s">
        <v>393</v>
      </c>
      <c r="B33" s="211" t="s">
        <v>394</v>
      </c>
      <c r="C33" s="210">
        <v>0</v>
      </c>
      <c r="D33" s="210">
        <v>0</v>
      </c>
      <c r="E33" s="207"/>
      <c r="F33" s="207"/>
      <c r="G33" s="210">
        <v>0</v>
      </c>
      <c r="H33" s="210">
        <v>0</v>
      </c>
      <c r="I33" s="207"/>
      <c r="J33" s="207"/>
      <c r="K33" s="210">
        <v>0</v>
      </c>
      <c r="L33" s="210">
        <v>0</v>
      </c>
      <c r="M33" s="207"/>
      <c r="N33" s="207"/>
    </row>
    <row r="34" spans="1:14">
      <c r="A34" s="122" t="s">
        <v>395</v>
      </c>
      <c r="B34" s="211" t="s">
        <v>396</v>
      </c>
      <c r="C34" s="210">
        <v>0</v>
      </c>
      <c r="D34" s="210">
        <v>0</v>
      </c>
      <c r="E34" s="207"/>
      <c r="F34" s="207"/>
      <c r="G34" s="210">
        <v>0</v>
      </c>
      <c r="H34" s="210">
        <v>0</v>
      </c>
      <c r="I34" s="207"/>
      <c r="J34" s="207"/>
      <c r="K34" s="210">
        <v>0</v>
      </c>
      <c r="L34" s="210">
        <v>0</v>
      </c>
      <c r="M34" s="207"/>
      <c r="N34" s="207"/>
    </row>
    <row r="35" spans="1:14" ht="25.5">
      <c r="A35" s="122" t="s">
        <v>397</v>
      </c>
      <c r="B35" s="211" t="s">
        <v>398</v>
      </c>
      <c r="C35" s="210">
        <v>93.8</v>
      </c>
      <c r="D35" s="210">
        <v>105.2</v>
      </c>
      <c r="E35" s="207">
        <v>112.15351812366738</v>
      </c>
      <c r="F35" s="207">
        <v>11.400000000000006</v>
      </c>
      <c r="G35" s="210">
        <v>203.1</v>
      </c>
      <c r="H35" s="210">
        <v>173.2</v>
      </c>
      <c r="I35" s="207">
        <v>85.278188084687343</v>
      </c>
      <c r="J35" s="207">
        <v>-29.900000000000006</v>
      </c>
      <c r="K35" s="210">
        <v>0</v>
      </c>
      <c r="L35" s="210">
        <v>0</v>
      </c>
      <c r="M35" s="207"/>
      <c r="N35" s="207"/>
    </row>
    <row r="36" spans="1:14">
      <c r="A36" s="212"/>
      <c r="B36" s="213" t="s">
        <v>105</v>
      </c>
      <c r="C36" s="207">
        <f>SUM(C25:C35)</f>
        <v>256.2</v>
      </c>
      <c r="D36" s="207">
        <f>SUM(D25:D35)</f>
        <v>261.60000000000002</v>
      </c>
      <c r="E36" s="207">
        <f>+D36/C36*100</f>
        <v>102.10772833723654</v>
      </c>
      <c r="F36" s="207">
        <f>SUM(F25:F35)</f>
        <v>5.4000000000000057</v>
      </c>
      <c r="G36" s="207">
        <f>SUM(G25:G35)</f>
        <v>1474.8999999999999</v>
      </c>
      <c r="H36" s="207">
        <f>SUM(H25:H35)</f>
        <v>1374.7</v>
      </c>
      <c r="I36" s="207">
        <f>+H36/G36*100</f>
        <v>93.206319072479502</v>
      </c>
      <c r="J36" s="207">
        <f>SUM(J25:J35)</f>
        <v>-100.20000000000007</v>
      </c>
      <c r="K36" s="207">
        <f>SUM(K25:K35)</f>
        <v>2901.4</v>
      </c>
      <c r="L36" s="207">
        <f>SUM(L25:L35)</f>
        <v>2903.1</v>
      </c>
      <c r="M36" s="207">
        <f>+L36/K36*100</f>
        <v>100.05859240366719</v>
      </c>
      <c r="N36" s="207">
        <f>SUM(N25:N35)</f>
        <v>1.7000000000000455</v>
      </c>
    </row>
    <row r="38" spans="1:14">
      <c r="D38" s="215"/>
      <c r="J38" s="215"/>
      <c r="M38" s="217"/>
    </row>
  </sheetData>
  <mergeCells count="36">
    <mergeCell ref="A22:A24"/>
    <mergeCell ref="B22:B24"/>
    <mergeCell ref="C22:F22"/>
    <mergeCell ref="G22:J22"/>
    <mergeCell ref="K22:N22"/>
    <mergeCell ref="C23:C24"/>
    <mergeCell ref="D23:D24"/>
    <mergeCell ref="E23:F23"/>
    <mergeCell ref="G23:G24"/>
    <mergeCell ref="H23:H24"/>
    <mergeCell ref="P7:P8"/>
    <mergeCell ref="I23:J23"/>
    <mergeCell ref="K23:K24"/>
    <mergeCell ref="L23:L24"/>
    <mergeCell ref="M23:N23"/>
    <mergeCell ref="I7:J7"/>
    <mergeCell ref="K7:K8"/>
    <mergeCell ref="L7:L8"/>
    <mergeCell ref="M7:N7"/>
    <mergeCell ref="O7:O8"/>
    <mergeCell ref="C2:N3"/>
    <mergeCell ref="P1:R1"/>
    <mergeCell ref="Q5:R5"/>
    <mergeCell ref="AC5:AD5"/>
    <mergeCell ref="A6:A8"/>
    <mergeCell ref="B6:B8"/>
    <mergeCell ref="C6:F6"/>
    <mergeCell ref="G6:J6"/>
    <mergeCell ref="K6:N6"/>
    <mergeCell ref="O6:R6"/>
    <mergeCell ref="Q7:R7"/>
    <mergeCell ref="C7:C8"/>
    <mergeCell ref="D7:D8"/>
    <mergeCell ref="E7:F7"/>
    <mergeCell ref="G7:G8"/>
    <mergeCell ref="H7:H8"/>
  </mergeCells>
  <pageMargins left="0.31496062992125984" right="0" top="0.55118110236220474" bottom="0.35433070866141736" header="0.31496062992125984" footer="0.31496062992125984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157"/>
  <sheetViews>
    <sheetView topLeftCell="N100" workbookViewId="0">
      <selection activeCell="AJ1" sqref="AJ1:AL1"/>
    </sheetView>
  </sheetViews>
  <sheetFormatPr defaultRowHeight="11.25"/>
  <cols>
    <col min="1" max="1" width="4" style="30" customWidth="1"/>
    <col min="2" max="2" width="35.7109375" style="99" customWidth="1"/>
    <col min="3" max="4" width="7.5703125" style="30" customWidth="1"/>
    <col min="5" max="5" width="5.42578125" style="30" customWidth="1"/>
    <col min="6" max="6" width="6.28515625" style="30" customWidth="1"/>
    <col min="7" max="7" width="6.85546875" style="30" customWidth="1"/>
    <col min="8" max="8" width="6.7109375" style="30" customWidth="1"/>
    <col min="9" max="9" width="5.140625" style="30" customWidth="1"/>
    <col min="10" max="10" width="5.28515625" style="30" customWidth="1"/>
    <col min="11" max="11" width="6.5703125" style="30" customWidth="1"/>
    <col min="12" max="12" width="6.28515625" style="30" customWidth="1"/>
    <col min="13" max="13" width="5.140625" style="30" customWidth="1"/>
    <col min="14" max="14" width="6.28515625" style="30" customWidth="1"/>
    <col min="15" max="15" width="6.7109375" style="30" customWidth="1"/>
    <col min="16" max="16" width="6.28515625" style="30" customWidth="1"/>
    <col min="17" max="17" width="5.140625" style="30" customWidth="1"/>
    <col min="18" max="18" width="5.42578125" style="30" customWidth="1"/>
    <col min="19" max="19" width="6.28515625" style="30" hidden="1" customWidth="1"/>
    <col min="20" max="20" width="6" style="30" hidden="1" customWidth="1"/>
    <col min="21" max="21" width="4.7109375" style="30" hidden="1" customWidth="1"/>
    <col min="22" max="22" width="6" style="30" hidden="1" customWidth="1"/>
    <col min="23" max="24" width="6.5703125" style="30" customWidth="1"/>
    <col min="25" max="26" width="6.140625" style="30" customWidth="1"/>
    <col min="27" max="27" width="6.5703125" style="30" customWidth="1"/>
    <col min="28" max="28" width="6.85546875" style="30" customWidth="1"/>
    <col min="29" max="29" width="6" style="30" customWidth="1"/>
    <col min="30" max="30" width="6.140625" style="30" customWidth="1"/>
    <col min="31" max="31" width="6.42578125" style="30" customWidth="1"/>
    <col min="32" max="32" width="5.85546875" style="30" customWidth="1"/>
    <col min="33" max="34" width="6.140625" style="30" customWidth="1"/>
    <col min="35" max="35" width="6.5703125" style="30" customWidth="1"/>
    <col min="36" max="36" width="6.140625" style="30" customWidth="1"/>
    <col min="37" max="37" width="5.85546875" style="30" customWidth="1"/>
    <col min="38" max="38" width="6.42578125" style="30" customWidth="1"/>
    <col min="39" max="39" width="0" style="30" hidden="1" customWidth="1"/>
    <col min="40" max="256" width="9.140625" style="30"/>
    <col min="257" max="257" width="4" style="30" customWidth="1"/>
    <col min="258" max="258" width="35.7109375" style="30" customWidth="1"/>
    <col min="259" max="260" width="6.85546875" style="30" customWidth="1"/>
    <col min="261" max="261" width="5.42578125" style="30" customWidth="1"/>
    <col min="262" max="262" width="5.85546875" style="30" customWidth="1"/>
    <col min="263" max="263" width="6.85546875" style="30" customWidth="1"/>
    <col min="264" max="264" width="6.7109375" style="30" customWidth="1"/>
    <col min="265" max="265" width="5.140625" style="30" customWidth="1"/>
    <col min="266" max="266" width="4.85546875" style="30" customWidth="1"/>
    <col min="267" max="267" width="6.5703125" style="30" customWidth="1"/>
    <col min="268" max="268" width="6.28515625" style="30" customWidth="1"/>
    <col min="269" max="269" width="5.140625" style="30" customWidth="1"/>
    <col min="270" max="270" width="5.85546875" style="30" customWidth="1"/>
    <col min="271" max="271" width="6" style="30" customWidth="1"/>
    <col min="272" max="272" width="6.28515625" style="30" customWidth="1"/>
    <col min="273" max="273" width="5.140625" style="30" customWidth="1"/>
    <col min="274" max="274" width="5.42578125" style="30" customWidth="1"/>
    <col min="275" max="278" width="0" style="30" hidden="1" customWidth="1"/>
    <col min="279" max="279" width="6.5703125" style="30" customWidth="1"/>
    <col min="280" max="280" width="6" style="30" customWidth="1"/>
    <col min="281" max="282" width="6.140625" style="30" customWidth="1"/>
    <col min="283" max="283" width="6.5703125" style="30" customWidth="1"/>
    <col min="284" max="284" width="6.85546875" style="30" customWidth="1"/>
    <col min="285" max="285" width="6" style="30" customWidth="1"/>
    <col min="286" max="286" width="6.140625" style="30" customWidth="1"/>
    <col min="287" max="287" width="6.42578125" style="30" customWidth="1"/>
    <col min="288" max="288" width="5.85546875" style="30" customWidth="1"/>
    <col min="289" max="290" width="6.140625" style="30" customWidth="1"/>
    <col min="291" max="291" width="6.5703125" style="30" customWidth="1"/>
    <col min="292" max="292" width="6.140625" style="30" customWidth="1"/>
    <col min="293" max="293" width="5.85546875" style="30" customWidth="1"/>
    <col min="294" max="294" width="6.42578125" style="30" customWidth="1"/>
    <col min="295" max="295" width="0" style="30" hidden="1" customWidth="1"/>
    <col min="296" max="512" width="9.140625" style="30"/>
    <col min="513" max="513" width="4" style="30" customWidth="1"/>
    <col min="514" max="514" width="35.7109375" style="30" customWidth="1"/>
    <col min="515" max="516" width="6.85546875" style="30" customWidth="1"/>
    <col min="517" max="517" width="5.42578125" style="30" customWidth="1"/>
    <col min="518" max="518" width="5.85546875" style="30" customWidth="1"/>
    <col min="519" max="519" width="6.85546875" style="30" customWidth="1"/>
    <col min="520" max="520" width="6.7109375" style="30" customWidth="1"/>
    <col min="521" max="521" width="5.140625" style="30" customWidth="1"/>
    <col min="522" max="522" width="4.85546875" style="30" customWidth="1"/>
    <col min="523" max="523" width="6.5703125" style="30" customWidth="1"/>
    <col min="524" max="524" width="6.28515625" style="30" customWidth="1"/>
    <col min="525" max="525" width="5.140625" style="30" customWidth="1"/>
    <col min="526" max="526" width="5.85546875" style="30" customWidth="1"/>
    <col min="527" max="527" width="6" style="30" customWidth="1"/>
    <col min="528" max="528" width="6.28515625" style="30" customWidth="1"/>
    <col min="529" max="529" width="5.140625" style="30" customWidth="1"/>
    <col min="530" max="530" width="5.42578125" style="30" customWidth="1"/>
    <col min="531" max="534" width="0" style="30" hidden="1" customWidth="1"/>
    <col min="535" max="535" width="6.5703125" style="30" customWidth="1"/>
    <col min="536" max="536" width="6" style="30" customWidth="1"/>
    <col min="537" max="538" width="6.140625" style="30" customWidth="1"/>
    <col min="539" max="539" width="6.5703125" style="30" customWidth="1"/>
    <col min="540" max="540" width="6.85546875" style="30" customWidth="1"/>
    <col min="541" max="541" width="6" style="30" customWidth="1"/>
    <col min="542" max="542" width="6.140625" style="30" customWidth="1"/>
    <col min="543" max="543" width="6.42578125" style="30" customWidth="1"/>
    <col min="544" max="544" width="5.85546875" style="30" customWidth="1"/>
    <col min="545" max="546" width="6.140625" style="30" customWidth="1"/>
    <col min="547" max="547" width="6.5703125" style="30" customWidth="1"/>
    <col min="548" max="548" width="6.140625" style="30" customWidth="1"/>
    <col min="549" max="549" width="5.85546875" style="30" customWidth="1"/>
    <col min="550" max="550" width="6.42578125" style="30" customWidth="1"/>
    <col min="551" max="551" width="0" style="30" hidden="1" customWidth="1"/>
    <col min="552" max="768" width="9.140625" style="30"/>
    <col min="769" max="769" width="4" style="30" customWidth="1"/>
    <col min="770" max="770" width="35.7109375" style="30" customWidth="1"/>
    <col min="771" max="772" width="6.85546875" style="30" customWidth="1"/>
    <col min="773" max="773" width="5.42578125" style="30" customWidth="1"/>
    <col min="774" max="774" width="5.85546875" style="30" customWidth="1"/>
    <col min="775" max="775" width="6.85546875" style="30" customWidth="1"/>
    <col min="776" max="776" width="6.7109375" style="30" customWidth="1"/>
    <col min="777" max="777" width="5.140625" style="30" customWidth="1"/>
    <col min="778" max="778" width="4.85546875" style="30" customWidth="1"/>
    <col min="779" max="779" width="6.5703125" style="30" customWidth="1"/>
    <col min="780" max="780" width="6.28515625" style="30" customWidth="1"/>
    <col min="781" max="781" width="5.140625" style="30" customWidth="1"/>
    <col min="782" max="782" width="5.85546875" style="30" customWidth="1"/>
    <col min="783" max="783" width="6" style="30" customWidth="1"/>
    <col min="784" max="784" width="6.28515625" style="30" customWidth="1"/>
    <col min="785" max="785" width="5.140625" style="30" customWidth="1"/>
    <col min="786" max="786" width="5.42578125" style="30" customWidth="1"/>
    <col min="787" max="790" width="0" style="30" hidden="1" customWidth="1"/>
    <col min="791" max="791" width="6.5703125" style="30" customWidth="1"/>
    <col min="792" max="792" width="6" style="30" customWidth="1"/>
    <col min="793" max="794" width="6.140625" style="30" customWidth="1"/>
    <col min="795" max="795" width="6.5703125" style="30" customWidth="1"/>
    <col min="796" max="796" width="6.85546875" style="30" customWidth="1"/>
    <col min="797" max="797" width="6" style="30" customWidth="1"/>
    <col min="798" max="798" width="6.140625" style="30" customWidth="1"/>
    <col min="799" max="799" width="6.42578125" style="30" customWidth="1"/>
    <col min="800" max="800" width="5.85546875" style="30" customWidth="1"/>
    <col min="801" max="802" width="6.140625" style="30" customWidth="1"/>
    <col min="803" max="803" width="6.5703125" style="30" customWidth="1"/>
    <col min="804" max="804" width="6.140625" style="30" customWidth="1"/>
    <col min="805" max="805" width="5.85546875" style="30" customWidth="1"/>
    <col min="806" max="806" width="6.42578125" style="30" customWidth="1"/>
    <col min="807" max="807" width="0" style="30" hidden="1" customWidth="1"/>
    <col min="808" max="1024" width="9.140625" style="30"/>
    <col min="1025" max="1025" width="4" style="30" customWidth="1"/>
    <col min="1026" max="1026" width="35.7109375" style="30" customWidth="1"/>
    <col min="1027" max="1028" width="6.85546875" style="30" customWidth="1"/>
    <col min="1029" max="1029" width="5.42578125" style="30" customWidth="1"/>
    <col min="1030" max="1030" width="5.85546875" style="30" customWidth="1"/>
    <col min="1031" max="1031" width="6.85546875" style="30" customWidth="1"/>
    <col min="1032" max="1032" width="6.7109375" style="30" customWidth="1"/>
    <col min="1033" max="1033" width="5.140625" style="30" customWidth="1"/>
    <col min="1034" max="1034" width="4.85546875" style="30" customWidth="1"/>
    <col min="1035" max="1035" width="6.5703125" style="30" customWidth="1"/>
    <col min="1036" max="1036" width="6.28515625" style="30" customWidth="1"/>
    <col min="1037" max="1037" width="5.140625" style="30" customWidth="1"/>
    <col min="1038" max="1038" width="5.85546875" style="30" customWidth="1"/>
    <col min="1039" max="1039" width="6" style="30" customWidth="1"/>
    <col min="1040" max="1040" width="6.28515625" style="30" customWidth="1"/>
    <col min="1041" max="1041" width="5.140625" style="30" customWidth="1"/>
    <col min="1042" max="1042" width="5.42578125" style="30" customWidth="1"/>
    <col min="1043" max="1046" width="0" style="30" hidden="1" customWidth="1"/>
    <col min="1047" max="1047" width="6.5703125" style="30" customWidth="1"/>
    <col min="1048" max="1048" width="6" style="30" customWidth="1"/>
    <col min="1049" max="1050" width="6.140625" style="30" customWidth="1"/>
    <col min="1051" max="1051" width="6.5703125" style="30" customWidth="1"/>
    <col min="1052" max="1052" width="6.85546875" style="30" customWidth="1"/>
    <col min="1053" max="1053" width="6" style="30" customWidth="1"/>
    <col min="1054" max="1054" width="6.140625" style="30" customWidth="1"/>
    <col min="1055" max="1055" width="6.42578125" style="30" customWidth="1"/>
    <col min="1056" max="1056" width="5.85546875" style="30" customWidth="1"/>
    <col min="1057" max="1058" width="6.140625" style="30" customWidth="1"/>
    <col min="1059" max="1059" width="6.5703125" style="30" customWidth="1"/>
    <col min="1060" max="1060" width="6.140625" style="30" customWidth="1"/>
    <col min="1061" max="1061" width="5.85546875" style="30" customWidth="1"/>
    <col min="1062" max="1062" width="6.42578125" style="30" customWidth="1"/>
    <col min="1063" max="1063" width="0" style="30" hidden="1" customWidth="1"/>
    <col min="1064" max="1280" width="9.140625" style="30"/>
    <col min="1281" max="1281" width="4" style="30" customWidth="1"/>
    <col min="1282" max="1282" width="35.7109375" style="30" customWidth="1"/>
    <col min="1283" max="1284" width="6.85546875" style="30" customWidth="1"/>
    <col min="1285" max="1285" width="5.42578125" style="30" customWidth="1"/>
    <col min="1286" max="1286" width="5.85546875" style="30" customWidth="1"/>
    <col min="1287" max="1287" width="6.85546875" style="30" customWidth="1"/>
    <col min="1288" max="1288" width="6.7109375" style="30" customWidth="1"/>
    <col min="1289" max="1289" width="5.140625" style="30" customWidth="1"/>
    <col min="1290" max="1290" width="4.85546875" style="30" customWidth="1"/>
    <col min="1291" max="1291" width="6.5703125" style="30" customWidth="1"/>
    <col min="1292" max="1292" width="6.28515625" style="30" customWidth="1"/>
    <col min="1293" max="1293" width="5.140625" style="30" customWidth="1"/>
    <col min="1294" max="1294" width="5.85546875" style="30" customWidth="1"/>
    <col min="1295" max="1295" width="6" style="30" customWidth="1"/>
    <col min="1296" max="1296" width="6.28515625" style="30" customWidth="1"/>
    <col min="1297" max="1297" width="5.140625" style="30" customWidth="1"/>
    <col min="1298" max="1298" width="5.42578125" style="30" customWidth="1"/>
    <col min="1299" max="1302" width="0" style="30" hidden="1" customWidth="1"/>
    <col min="1303" max="1303" width="6.5703125" style="30" customWidth="1"/>
    <col min="1304" max="1304" width="6" style="30" customWidth="1"/>
    <col min="1305" max="1306" width="6.140625" style="30" customWidth="1"/>
    <col min="1307" max="1307" width="6.5703125" style="30" customWidth="1"/>
    <col min="1308" max="1308" width="6.85546875" style="30" customWidth="1"/>
    <col min="1309" max="1309" width="6" style="30" customWidth="1"/>
    <col min="1310" max="1310" width="6.140625" style="30" customWidth="1"/>
    <col min="1311" max="1311" width="6.42578125" style="30" customWidth="1"/>
    <col min="1312" max="1312" width="5.85546875" style="30" customWidth="1"/>
    <col min="1313" max="1314" width="6.140625" style="30" customWidth="1"/>
    <col min="1315" max="1315" width="6.5703125" style="30" customWidth="1"/>
    <col min="1316" max="1316" width="6.140625" style="30" customWidth="1"/>
    <col min="1317" max="1317" width="5.85546875" style="30" customWidth="1"/>
    <col min="1318" max="1318" width="6.42578125" style="30" customWidth="1"/>
    <col min="1319" max="1319" width="0" style="30" hidden="1" customWidth="1"/>
    <col min="1320" max="1536" width="9.140625" style="30"/>
    <col min="1537" max="1537" width="4" style="30" customWidth="1"/>
    <col min="1538" max="1538" width="35.7109375" style="30" customWidth="1"/>
    <col min="1539" max="1540" width="6.85546875" style="30" customWidth="1"/>
    <col min="1541" max="1541" width="5.42578125" style="30" customWidth="1"/>
    <col min="1542" max="1542" width="5.85546875" style="30" customWidth="1"/>
    <col min="1543" max="1543" width="6.85546875" style="30" customWidth="1"/>
    <col min="1544" max="1544" width="6.7109375" style="30" customWidth="1"/>
    <col min="1545" max="1545" width="5.140625" style="30" customWidth="1"/>
    <col min="1546" max="1546" width="4.85546875" style="30" customWidth="1"/>
    <col min="1547" max="1547" width="6.5703125" style="30" customWidth="1"/>
    <col min="1548" max="1548" width="6.28515625" style="30" customWidth="1"/>
    <col min="1549" max="1549" width="5.140625" style="30" customWidth="1"/>
    <col min="1550" max="1550" width="5.85546875" style="30" customWidth="1"/>
    <col min="1551" max="1551" width="6" style="30" customWidth="1"/>
    <col min="1552" max="1552" width="6.28515625" style="30" customWidth="1"/>
    <col min="1553" max="1553" width="5.140625" style="30" customWidth="1"/>
    <col min="1554" max="1554" width="5.42578125" style="30" customWidth="1"/>
    <col min="1555" max="1558" width="0" style="30" hidden="1" customWidth="1"/>
    <col min="1559" max="1559" width="6.5703125" style="30" customWidth="1"/>
    <col min="1560" max="1560" width="6" style="30" customWidth="1"/>
    <col min="1561" max="1562" width="6.140625" style="30" customWidth="1"/>
    <col min="1563" max="1563" width="6.5703125" style="30" customWidth="1"/>
    <col min="1564" max="1564" width="6.85546875" style="30" customWidth="1"/>
    <col min="1565" max="1565" width="6" style="30" customWidth="1"/>
    <col min="1566" max="1566" width="6.140625" style="30" customWidth="1"/>
    <col min="1567" max="1567" width="6.42578125" style="30" customWidth="1"/>
    <col min="1568" max="1568" width="5.85546875" style="30" customWidth="1"/>
    <col min="1569" max="1570" width="6.140625" style="30" customWidth="1"/>
    <col min="1571" max="1571" width="6.5703125" style="30" customWidth="1"/>
    <col min="1572" max="1572" width="6.140625" style="30" customWidth="1"/>
    <col min="1573" max="1573" width="5.85546875" style="30" customWidth="1"/>
    <col min="1574" max="1574" width="6.42578125" style="30" customWidth="1"/>
    <col min="1575" max="1575" width="0" style="30" hidden="1" customWidth="1"/>
    <col min="1576" max="1792" width="9.140625" style="30"/>
    <col min="1793" max="1793" width="4" style="30" customWidth="1"/>
    <col min="1794" max="1794" width="35.7109375" style="30" customWidth="1"/>
    <col min="1795" max="1796" width="6.85546875" style="30" customWidth="1"/>
    <col min="1797" max="1797" width="5.42578125" style="30" customWidth="1"/>
    <col min="1798" max="1798" width="5.85546875" style="30" customWidth="1"/>
    <col min="1799" max="1799" width="6.85546875" style="30" customWidth="1"/>
    <col min="1800" max="1800" width="6.7109375" style="30" customWidth="1"/>
    <col min="1801" max="1801" width="5.140625" style="30" customWidth="1"/>
    <col min="1802" max="1802" width="4.85546875" style="30" customWidth="1"/>
    <col min="1803" max="1803" width="6.5703125" style="30" customWidth="1"/>
    <col min="1804" max="1804" width="6.28515625" style="30" customWidth="1"/>
    <col min="1805" max="1805" width="5.140625" style="30" customWidth="1"/>
    <col min="1806" max="1806" width="5.85546875" style="30" customWidth="1"/>
    <col min="1807" max="1807" width="6" style="30" customWidth="1"/>
    <col min="1808" max="1808" width="6.28515625" style="30" customWidth="1"/>
    <col min="1809" max="1809" width="5.140625" style="30" customWidth="1"/>
    <col min="1810" max="1810" width="5.42578125" style="30" customWidth="1"/>
    <col min="1811" max="1814" width="0" style="30" hidden="1" customWidth="1"/>
    <col min="1815" max="1815" width="6.5703125" style="30" customWidth="1"/>
    <col min="1816" max="1816" width="6" style="30" customWidth="1"/>
    <col min="1817" max="1818" width="6.140625" style="30" customWidth="1"/>
    <col min="1819" max="1819" width="6.5703125" style="30" customWidth="1"/>
    <col min="1820" max="1820" width="6.85546875" style="30" customWidth="1"/>
    <col min="1821" max="1821" width="6" style="30" customWidth="1"/>
    <col min="1822" max="1822" width="6.140625" style="30" customWidth="1"/>
    <col min="1823" max="1823" width="6.42578125" style="30" customWidth="1"/>
    <col min="1824" max="1824" width="5.85546875" style="30" customWidth="1"/>
    <col min="1825" max="1826" width="6.140625" style="30" customWidth="1"/>
    <col min="1827" max="1827" width="6.5703125" style="30" customWidth="1"/>
    <col min="1828" max="1828" width="6.140625" style="30" customWidth="1"/>
    <col min="1829" max="1829" width="5.85546875" style="30" customWidth="1"/>
    <col min="1830" max="1830" width="6.42578125" style="30" customWidth="1"/>
    <col min="1831" max="1831" width="0" style="30" hidden="1" customWidth="1"/>
    <col min="1832" max="2048" width="9.140625" style="30"/>
    <col min="2049" max="2049" width="4" style="30" customWidth="1"/>
    <col min="2050" max="2050" width="35.7109375" style="30" customWidth="1"/>
    <col min="2051" max="2052" width="6.85546875" style="30" customWidth="1"/>
    <col min="2053" max="2053" width="5.42578125" style="30" customWidth="1"/>
    <col min="2054" max="2054" width="5.85546875" style="30" customWidth="1"/>
    <col min="2055" max="2055" width="6.85546875" style="30" customWidth="1"/>
    <col min="2056" max="2056" width="6.7109375" style="30" customWidth="1"/>
    <col min="2057" max="2057" width="5.140625" style="30" customWidth="1"/>
    <col min="2058" max="2058" width="4.85546875" style="30" customWidth="1"/>
    <col min="2059" max="2059" width="6.5703125" style="30" customWidth="1"/>
    <col min="2060" max="2060" width="6.28515625" style="30" customWidth="1"/>
    <col min="2061" max="2061" width="5.140625" style="30" customWidth="1"/>
    <col min="2062" max="2062" width="5.85546875" style="30" customWidth="1"/>
    <col min="2063" max="2063" width="6" style="30" customWidth="1"/>
    <col min="2064" max="2064" width="6.28515625" style="30" customWidth="1"/>
    <col min="2065" max="2065" width="5.140625" style="30" customWidth="1"/>
    <col min="2066" max="2066" width="5.42578125" style="30" customWidth="1"/>
    <col min="2067" max="2070" width="0" style="30" hidden="1" customWidth="1"/>
    <col min="2071" max="2071" width="6.5703125" style="30" customWidth="1"/>
    <col min="2072" max="2072" width="6" style="30" customWidth="1"/>
    <col min="2073" max="2074" width="6.140625" style="30" customWidth="1"/>
    <col min="2075" max="2075" width="6.5703125" style="30" customWidth="1"/>
    <col min="2076" max="2076" width="6.85546875" style="30" customWidth="1"/>
    <col min="2077" max="2077" width="6" style="30" customWidth="1"/>
    <col min="2078" max="2078" width="6.140625" style="30" customWidth="1"/>
    <col min="2079" max="2079" width="6.42578125" style="30" customWidth="1"/>
    <col min="2080" max="2080" width="5.85546875" style="30" customWidth="1"/>
    <col min="2081" max="2082" width="6.140625" style="30" customWidth="1"/>
    <col min="2083" max="2083" width="6.5703125" style="30" customWidth="1"/>
    <col min="2084" max="2084" width="6.140625" style="30" customWidth="1"/>
    <col min="2085" max="2085" width="5.85546875" style="30" customWidth="1"/>
    <col min="2086" max="2086" width="6.42578125" style="30" customWidth="1"/>
    <col min="2087" max="2087" width="0" style="30" hidden="1" customWidth="1"/>
    <col min="2088" max="2304" width="9.140625" style="30"/>
    <col min="2305" max="2305" width="4" style="30" customWidth="1"/>
    <col min="2306" max="2306" width="35.7109375" style="30" customWidth="1"/>
    <col min="2307" max="2308" width="6.85546875" style="30" customWidth="1"/>
    <col min="2309" max="2309" width="5.42578125" style="30" customWidth="1"/>
    <col min="2310" max="2310" width="5.85546875" style="30" customWidth="1"/>
    <col min="2311" max="2311" width="6.85546875" style="30" customWidth="1"/>
    <col min="2312" max="2312" width="6.7109375" style="30" customWidth="1"/>
    <col min="2313" max="2313" width="5.140625" style="30" customWidth="1"/>
    <col min="2314" max="2314" width="4.85546875" style="30" customWidth="1"/>
    <col min="2315" max="2315" width="6.5703125" style="30" customWidth="1"/>
    <col min="2316" max="2316" width="6.28515625" style="30" customWidth="1"/>
    <col min="2317" max="2317" width="5.140625" style="30" customWidth="1"/>
    <col min="2318" max="2318" width="5.85546875" style="30" customWidth="1"/>
    <col min="2319" max="2319" width="6" style="30" customWidth="1"/>
    <col min="2320" max="2320" width="6.28515625" style="30" customWidth="1"/>
    <col min="2321" max="2321" width="5.140625" style="30" customWidth="1"/>
    <col min="2322" max="2322" width="5.42578125" style="30" customWidth="1"/>
    <col min="2323" max="2326" width="0" style="30" hidden="1" customWidth="1"/>
    <col min="2327" max="2327" width="6.5703125" style="30" customWidth="1"/>
    <col min="2328" max="2328" width="6" style="30" customWidth="1"/>
    <col min="2329" max="2330" width="6.140625" style="30" customWidth="1"/>
    <col min="2331" max="2331" width="6.5703125" style="30" customWidth="1"/>
    <col min="2332" max="2332" width="6.85546875" style="30" customWidth="1"/>
    <col min="2333" max="2333" width="6" style="30" customWidth="1"/>
    <col min="2334" max="2334" width="6.140625" style="30" customWidth="1"/>
    <col min="2335" max="2335" width="6.42578125" style="30" customWidth="1"/>
    <col min="2336" max="2336" width="5.85546875" style="30" customWidth="1"/>
    <col min="2337" max="2338" width="6.140625" style="30" customWidth="1"/>
    <col min="2339" max="2339" width="6.5703125" style="30" customWidth="1"/>
    <col min="2340" max="2340" width="6.140625" style="30" customWidth="1"/>
    <col min="2341" max="2341" width="5.85546875" style="30" customWidth="1"/>
    <col min="2342" max="2342" width="6.42578125" style="30" customWidth="1"/>
    <col min="2343" max="2343" width="0" style="30" hidden="1" customWidth="1"/>
    <col min="2344" max="2560" width="9.140625" style="30"/>
    <col min="2561" max="2561" width="4" style="30" customWidth="1"/>
    <col min="2562" max="2562" width="35.7109375" style="30" customWidth="1"/>
    <col min="2563" max="2564" width="6.85546875" style="30" customWidth="1"/>
    <col min="2565" max="2565" width="5.42578125" style="30" customWidth="1"/>
    <col min="2566" max="2566" width="5.85546875" style="30" customWidth="1"/>
    <col min="2567" max="2567" width="6.85546875" style="30" customWidth="1"/>
    <col min="2568" max="2568" width="6.7109375" style="30" customWidth="1"/>
    <col min="2569" max="2569" width="5.140625" style="30" customWidth="1"/>
    <col min="2570" max="2570" width="4.85546875" style="30" customWidth="1"/>
    <col min="2571" max="2571" width="6.5703125" style="30" customWidth="1"/>
    <col min="2572" max="2572" width="6.28515625" style="30" customWidth="1"/>
    <col min="2573" max="2573" width="5.140625" style="30" customWidth="1"/>
    <col min="2574" max="2574" width="5.85546875" style="30" customWidth="1"/>
    <col min="2575" max="2575" width="6" style="30" customWidth="1"/>
    <col min="2576" max="2576" width="6.28515625" style="30" customWidth="1"/>
    <col min="2577" max="2577" width="5.140625" style="30" customWidth="1"/>
    <col min="2578" max="2578" width="5.42578125" style="30" customWidth="1"/>
    <col min="2579" max="2582" width="0" style="30" hidden="1" customWidth="1"/>
    <col min="2583" max="2583" width="6.5703125" style="30" customWidth="1"/>
    <col min="2584" max="2584" width="6" style="30" customWidth="1"/>
    <col min="2585" max="2586" width="6.140625" style="30" customWidth="1"/>
    <col min="2587" max="2587" width="6.5703125" style="30" customWidth="1"/>
    <col min="2588" max="2588" width="6.85546875" style="30" customWidth="1"/>
    <col min="2589" max="2589" width="6" style="30" customWidth="1"/>
    <col min="2590" max="2590" width="6.140625" style="30" customWidth="1"/>
    <col min="2591" max="2591" width="6.42578125" style="30" customWidth="1"/>
    <col min="2592" max="2592" width="5.85546875" style="30" customWidth="1"/>
    <col min="2593" max="2594" width="6.140625" style="30" customWidth="1"/>
    <col min="2595" max="2595" width="6.5703125" style="30" customWidth="1"/>
    <col min="2596" max="2596" width="6.140625" style="30" customWidth="1"/>
    <col min="2597" max="2597" width="5.85546875" style="30" customWidth="1"/>
    <col min="2598" max="2598" width="6.42578125" style="30" customWidth="1"/>
    <col min="2599" max="2599" width="0" style="30" hidden="1" customWidth="1"/>
    <col min="2600" max="2816" width="9.140625" style="30"/>
    <col min="2817" max="2817" width="4" style="30" customWidth="1"/>
    <col min="2818" max="2818" width="35.7109375" style="30" customWidth="1"/>
    <col min="2819" max="2820" width="6.85546875" style="30" customWidth="1"/>
    <col min="2821" max="2821" width="5.42578125" style="30" customWidth="1"/>
    <col min="2822" max="2822" width="5.85546875" style="30" customWidth="1"/>
    <col min="2823" max="2823" width="6.85546875" style="30" customWidth="1"/>
    <col min="2824" max="2824" width="6.7109375" style="30" customWidth="1"/>
    <col min="2825" max="2825" width="5.140625" style="30" customWidth="1"/>
    <col min="2826" max="2826" width="4.85546875" style="30" customWidth="1"/>
    <col min="2827" max="2827" width="6.5703125" style="30" customWidth="1"/>
    <col min="2828" max="2828" width="6.28515625" style="30" customWidth="1"/>
    <col min="2829" max="2829" width="5.140625" style="30" customWidth="1"/>
    <col min="2830" max="2830" width="5.85546875" style="30" customWidth="1"/>
    <col min="2831" max="2831" width="6" style="30" customWidth="1"/>
    <col min="2832" max="2832" width="6.28515625" style="30" customWidth="1"/>
    <col min="2833" max="2833" width="5.140625" style="30" customWidth="1"/>
    <col min="2834" max="2834" width="5.42578125" style="30" customWidth="1"/>
    <col min="2835" max="2838" width="0" style="30" hidden="1" customWidth="1"/>
    <col min="2839" max="2839" width="6.5703125" style="30" customWidth="1"/>
    <col min="2840" max="2840" width="6" style="30" customWidth="1"/>
    <col min="2841" max="2842" width="6.140625" style="30" customWidth="1"/>
    <col min="2843" max="2843" width="6.5703125" style="30" customWidth="1"/>
    <col min="2844" max="2844" width="6.85546875" style="30" customWidth="1"/>
    <col min="2845" max="2845" width="6" style="30" customWidth="1"/>
    <col min="2846" max="2846" width="6.140625" style="30" customWidth="1"/>
    <col min="2847" max="2847" width="6.42578125" style="30" customWidth="1"/>
    <col min="2848" max="2848" width="5.85546875" style="30" customWidth="1"/>
    <col min="2849" max="2850" width="6.140625" style="30" customWidth="1"/>
    <col min="2851" max="2851" width="6.5703125" style="30" customWidth="1"/>
    <col min="2852" max="2852" width="6.140625" style="30" customWidth="1"/>
    <col min="2853" max="2853" width="5.85546875" style="30" customWidth="1"/>
    <col min="2854" max="2854" width="6.42578125" style="30" customWidth="1"/>
    <col min="2855" max="2855" width="0" style="30" hidden="1" customWidth="1"/>
    <col min="2856" max="3072" width="9.140625" style="30"/>
    <col min="3073" max="3073" width="4" style="30" customWidth="1"/>
    <col min="3074" max="3074" width="35.7109375" style="30" customWidth="1"/>
    <col min="3075" max="3076" width="6.85546875" style="30" customWidth="1"/>
    <col min="3077" max="3077" width="5.42578125" style="30" customWidth="1"/>
    <col min="3078" max="3078" width="5.85546875" style="30" customWidth="1"/>
    <col min="3079" max="3079" width="6.85546875" style="30" customWidth="1"/>
    <col min="3080" max="3080" width="6.7109375" style="30" customWidth="1"/>
    <col min="3081" max="3081" width="5.140625" style="30" customWidth="1"/>
    <col min="3082" max="3082" width="4.85546875" style="30" customWidth="1"/>
    <col min="3083" max="3083" width="6.5703125" style="30" customWidth="1"/>
    <col min="3084" max="3084" width="6.28515625" style="30" customWidth="1"/>
    <col min="3085" max="3085" width="5.140625" style="30" customWidth="1"/>
    <col min="3086" max="3086" width="5.85546875" style="30" customWidth="1"/>
    <col min="3087" max="3087" width="6" style="30" customWidth="1"/>
    <col min="3088" max="3088" width="6.28515625" style="30" customWidth="1"/>
    <col min="3089" max="3089" width="5.140625" style="30" customWidth="1"/>
    <col min="3090" max="3090" width="5.42578125" style="30" customWidth="1"/>
    <col min="3091" max="3094" width="0" style="30" hidden="1" customWidth="1"/>
    <col min="3095" max="3095" width="6.5703125" style="30" customWidth="1"/>
    <col min="3096" max="3096" width="6" style="30" customWidth="1"/>
    <col min="3097" max="3098" width="6.140625" style="30" customWidth="1"/>
    <col min="3099" max="3099" width="6.5703125" style="30" customWidth="1"/>
    <col min="3100" max="3100" width="6.85546875" style="30" customWidth="1"/>
    <col min="3101" max="3101" width="6" style="30" customWidth="1"/>
    <col min="3102" max="3102" width="6.140625" style="30" customWidth="1"/>
    <col min="3103" max="3103" width="6.42578125" style="30" customWidth="1"/>
    <col min="3104" max="3104" width="5.85546875" style="30" customWidth="1"/>
    <col min="3105" max="3106" width="6.140625" style="30" customWidth="1"/>
    <col min="3107" max="3107" width="6.5703125" style="30" customWidth="1"/>
    <col min="3108" max="3108" width="6.140625" style="30" customWidth="1"/>
    <col min="3109" max="3109" width="5.85546875" style="30" customWidth="1"/>
    <col min="3110" max="3110" width="6.42578125" style="30" customWidth="1"/>
    <col min="3111" max="3111" width="0" style="30" hidden="1" customWidth="1"/>
    <col min="3112" max="3328" width="9.140625" style="30"/>
    <col min="3329" max="3329" width="4" style="30" customWidth="1"/>
    <col min="3330" max="3330" width="35.7109375" style="30" customWidth="1"/>
    <col min="3331" max="3332" width="6.85546875" style="30" customWidth="1"/>
    <col min="3333" max="3333" width="5.42578125" style="30" customWidth="1"/>
    <col min="3334" max="3334" width="5.85546875" style="30" customWidth="1"/>
    <col min="3335" max="3335" width="6.85546875" style="30" customWidth="1"/>
    <col min="3336" max="3336" width="6.7109375" style="30" customWidth="1"/>
    <col min="3337" max="3337" width="5.140625" style="30" customWidth="1"/>
    <col min="3338" max="3338" width="4.85546875" style="30" customWidth="1"/>
    <col min="3339" max="3339" width="6.5703125" style="30" customWidth="1"/>
    <col min="3340" max="3340" width="6.28515625" style="30" customWidth="1"/>
    <col min="3341" max="3341" width="5.140625" style="30" customWidth="1"/>
    <col min="3342" max="3342" width="5.85546875" style="30" customWidth="1"/>
    <col min="3343" max="3343" width="6" style="30" customWidth="1"/>
    <col min="3344" max="3344" width="6.28515625" style="30" customWidth="1"/>
    <col min="3345" max="3345" width="5.140625" style="30" customWidth="1"/>
    <col min="3346" max="3346" width="5.42578125" style="30" customWidth="1"/>
    <col min="3347" max="3350" width="0" style="30" hidden="1" customWidth="1"/>
    <col min="3351" max="3351" width="6.5703125" style="30" customWidth="1"/>
    <col min="3352" max="3352" width="6" style="30" customWidth="1"/>
    <col min="3353" max="3354" width="6.140625" style="30" customWidth="1"/>
    <col min="3355" max="3355" width="6.5703125" style="30" customWidth="1"/>
    <col min="3356" max="3356" width="6.85546875" style="30" customWidth="1"/>
    <col min="3357" max="3357" width="6" style="30" customWidth="1"/>
    <col min="3358" max="3358" width="6.140625" style="30" customWidth="1"/>
    <col min="3359" max="3359" width="6.42578125" style="30" customWidth="1"/>
    <col min="3360" max="3360" width="5.85546875" style="30" customWidth="1"/>
    <col min="3361" max="3362" width="6.140625" style="30" customWidth="1"/>
    <col min="3363" max="3363" width="6.5703125" style="30" customWidth="1"/>
    <col min="3364" max="3364" width="6.140625" style="30" customWidth="1"/>
    <col min="3365" max="3365" width="5.85546875" style="30" customWidth="1"/>
    <col min="3366" max="3366" width="6.42578125" style="30" customWidth="1"/>
    <col min="3367" max="3367" width="0" style="30" hidden="1" customWidth="1"/>
    <col min="3368" max="3584" width="9.140625" style="30"/>
    <col min="3585" max="3585" width="4" style="30" customWidth="1"/>
    <col min="3586" max="3586" width="35.7109375" style="30" customWidth="1"/>
    <col min="3587" max="3588" width="6.85546875" style="30" customWidth="1"/>
    <col min="3589" max="3589" width="5.42578125" style="30" customWidth="1"/>
    <col min="3590" max="3590" width="5.85546875" style="30" customWidth="1"/>
    <col min="3591" max="3591" width="6.85546875" style="30" customWidth="1"/>
    <col min="3592" max="3592" width="6.7109375" style="30" customWidth="1"/>
    <col min="3593" max="3593" width="5.140625" style="30" customWidth="1"/>
    <col min="3594" max="3594" width="4.85546875" style="30" customWidth="1"/>
    <col min="3595" max="3595" width="6.5703125" style="30" customWidth="1"/>
    <col min="3596" max="3596" width="6.28515625" style="30" customWidth="1"/>
    <col min="3597" max="3597" width="5.140625" style="30" customWidth="1"/>
    <col min="3598" max="3598" width="5.85546875" style="30" customWidth="1"/>
    <col min="3599" max="3599" width="6" style="30" customWidth="1"/>
    <col min="3600" max="3600" width="6.28515625" style="30" customWidth="1"/>
    <col min="3601" max="3601" width="5.140625" style="30" customWidth="1"/>
    <col min="3602" max="3602" width="5.42578125" style="30" customWidth="1"/>
    <col min="3603" max="3606" width="0" style="30" hidden="1" customWidth="1"/>
    <col min="3607" max="3607" width="6.5703125" style="30" customWidth="1"/>
    <col min="3608" max="3608" width="6" style="30" customWidth="1"/>
    <col min="3609" max="3610" width="6.140625" style="30" customWidth="1"/>
    <col min="3611" max="3611" width="6.5703125" style="30" customWidth="1"/>
    <col min="3612" max="3612" width="6.85546875" style="30" customWidth="1"/>
    <col min="3613" max="3613" width="6" style="30" customWidth="1"/>
    <col min="3614" max="3614" width="6.140625" style="30" customWidth="1"/>
    <col min="3615" max="3615" width="6.42578125" style="30" customWidth="1"/>
    <col min="3616" max="3616" width="5.85546875" style="30" customWidth="1"/>
    <col min="3617" max="3618" width="6.140625" style="30" customWidth="1"/>
    <col min="3619" max="3619" width="6.5703125" style="30" customWidth="1"/>
    <col min="3620" max="3620" width="6.140625" style="30" customWidth="1"/>
    <col min="3621" max="3621" width="5.85546875" style="30" customWidth="1"/>
    <col min="3622" max="3622" width="6.42578125" style="30" customWidth="1"/>
    <col min="3623" max="3623" width="0" style="30" hidden="1" customWidth="1"/>
    <col min="3624" max="3840" width="9.140625" style="30"/>
    <col min="3841" max="3841" width="4" style="30" customWidth="1"/>
    <col min="3842" max="3842" width="35.7109375" style="30" customWidth="1"/>
    <col min="3843" max="3844" width="6.85546875" style="30" customWidth="1"/>
    <col min="3845" max="3845" width="5.42578125" style="30" customWidth="1"/>
    <col min="3846" max="3846" width="5.85546875" style="30" customWidth="1"/>
    <col min="3847" max="3847" width="6.85546875" style="30" customWidth="1"/>
    <col min="3848" max="3848" width="6.7109375" style="30" customWidth="1"/>
    <col min="3849" max="3849" width="5.140625" style="30" customWidth="1"/>
    <col min="3850" max="3850" width="4.85546875" style="30" customWidth="1"/>
    <col min="3851" max="3851" width="6.5703125" style="30" customWidth="1"/>
    <col min="3852" max="3852" width="6.28515625" style="30" customWidth="1"/>
    <col min="3853" max="3853" width="5.140625" style="30" customWidth="1"/>
    <col min="3854" max="3854" width="5.85546875" style="30" customWidth="1"/>
    <col min="3855" max="3855" width="6" style="30" customWidth="1"/>
    <col min="3856" max="3856" width="6.28515625" style="30" customWidth="1"/>
    <col min="3857" max="3857" width="5.140625" style="30" customWidth="1"/>
    <col min="3858" max="3858" width="5.42578125" style="30" customWidth="1"/>
    <col min="3859" max="3862" width="0" style="30" hidden="1" customWidth="1"/>
    <col min="3863" max="3863" width="6.5703125" style="30" customWidth="1"/>
    <col min="3864" max="3864" width="6" style="30" customWidth="1"/>
    <col min="3865" max="3866" width="6.140625" style="30" customWidth="1"/>
    <col min="3867" max="3867" width="6.5703125" style="30" customWidth="1"/>
    <col min="3868" max="3868" width="6.85546875" style="30" customWidth="1"/>
    <col min="3869" max="3869" width="6" style="30" customWidth="1"/>
    <col min="3870" max="3870" width="6.140625" style="30" customWidth="1"/>
    <col min="3871" max="3871" width="6.42578125" style="30" customWidth="1"/>
    <col min="3872" max="3872" width="5.85546875" style="30" customWidth="1"/>
    <col min="3873" max="3874" width="6.140625" style="30" customWidth="1"/>
    <col min="3875" max="3875" width="6.5703125" style="30" customWidth="1"/>
    <col min="3876" max="3876" width="6.140625" style="30" customWidth="1"/>
    <col min="3877" max="3877" width="5.85546875" style="30" customWidth="1"/>
    <col min="3878" max="3878" width="6.42578125" style="30" customWidth="1"/>
    <col min="3879" max="3879" width="0" style="30" hidden="1" customWidth="1"/>
    <col min="3880" max="4096" width="9.140625" style="30"/>
    <col min="4097" max="4097" width="4" style="30" customWidth="1"/>
    <col min="4098" max="4098" width="35.7109375" style="30" customWidth="1"/>
    <col min="4099" max="4100" width="6.85546875" style="30" customWidth="1"/>
    <col min="4101" max="4101" width="5.42578125" style="30" customWidth="1"/>
    <col min="4102" max="4102" width="5.85546875" style="30" customWidth="1"/>
    <col min="4103" max="4103" width="6.85546875" style="30" customWidth="1"/>
    <col min="4104" max="4104" width="6.7109375" style="30" customWidth="1"/>
    <col min="4105" max="4105" width="5.140625" style="30" customWidth="1"/>
    <col min="4106" max="4106" width="4.85546875" style="30" customWidth="1"/>
    <col min="4107" max="4107" width="6.5703125" style="30" customWidth="1"/>
    <col min="4108" max="4108" width="6.28515625" style="30" customWidth="1"/>
    <col min="4109" max="4109" width="5.140625" style="30" customWidth="1"/>
    <col min="4110" max="4110" width="5.85546875" style="30" customWidth="1"/>
    <col min="4111" max="4111" width="6" style="30" customWidth="1"/>
    <col min="4112" max="4112" width="6.28515625" style="30" customWidth="1"/>
    <col min="4113" max="4113" width="5.140625" style="30" customWidth="1"/>
    <col min="4114" max="4114" width="5.42578125" style="30" customWidth="1"/>
    <col min="4115" max="4118" width="0" style="30" hidden="1" customWidth="1"/>
    <col min="4119" max="4119" width="6.5703125" style="30" customWidth="1"/>
    <col min="4120" max="4120" width="6" style="30" customWidth="1"/>
    <col min="4121" max="4122" width="6.140625" style="30" customWidth="1"/>
    <col min="4123" max="4123" width="6.5703125" style="30" customWidth="1"/>
    <col min="4124" max="4124" width="6.85546875" style="30" customWidth="1"/>
    <col min="4125" max="4125" width="6" style="30" customWidth="1"/>
    <col min="4126" max="4126" width="6.140625" style="30" customWidth="1"/>
    <col min="4127" max="4127" width="6.42578125" style="30" customWidth="1"/>
    <col min="4128" max="4128" width="5.85546875" style="30" customWidth="1"/>
    <col min="4129" max="4130" width="6.140625" style="30" customWidth="1"/>
    <col min="4131" max="4131" width="6.5703125" style="30" customWidth="1"/>
    <col min="4132" max="4132" width="6.140625" style="30" customWidth="1"/>
    <col min="4133" max="4133" width="5.85546875" style="30" customWidth="1"/>
    <col min="4134" max="4134" width="6.42578125" style="30" customWidth="1"/>
    <col min="4135" max="4135" width="0" style="30" hidden="1" customWidth="1"/>
    <col min="4136" max="4352" width="9.140625" style="30"/>
    <col min="4353" max="4353" width="4" style="30" customWidth="1"/>
    <col min="4354" max="4354" width="35.7109375" style="30" customWidth="1"/>
    <col min="4355" max="4356" width="6.85546875" style="30" customWidth="1"/>
    <col min="4357" max="4357" width="5.42578125" style="30" customWidth="1"/>
    <col min="4358" max="4358" width="5.85546875" style="30" customWidth="1"/>
    <col min="4359" max="4359" width="6.85546875" style="30" customWidth="1"/>
    <col min="4360" max="4360" width="6.7109375" style="30" customWidth="1"/>
    <col min="4361" max="4361" width="5.140625" style="30" customWidth="1"/>
    <col min="4362" max="4362" width="4.85546875" style="30" customWidth="1"/>
    <col min="4363" max="4363" width="6.5703125" style="30" customWidth="1"/>
    <col min="4364" max="4364" width="6.28515625" style="30" customWidth="1"/>
    <col min="4365" max="4365" width="5.140625" style="30" customWidth="1"/>
    <col min="4366" max="4366" width="5.85546875" style="30" customWidth="1"/>
    <col min="4367" max="4367" width="6" style="30" customWidth="1"/>
    <col min="4368" max="4368" width="6.28515625" style="30" customWidth="1"/>
    <col min="4369" max="4369" width="5.140625" style="30" customWidth="1"/>
    <col min="4370" max="4370" width="5.42578125" style="30" customWidth="1"/>
    <col min="4371" max="4374" width="0" style="30" hidden="1" customWidth="1"/>
    <col min="4375" max="4375" width="6.5703125" style="30" customWidth="1"/>
    <col min="4376" max="4376" width="6" style="30" customWidth="1"/>
    <col min="4377" max="4378" width="6.140625" style="30" customWidth="1"/>
    <col min="4379" max="4379" width="6.5703125" style="30" customWidth="1"/>
    <col min="4380" max="4380" width="6.85546875" style="30" customWidth="1"/>
    <col min="4381" max="4381" width="6" style="30" customWidth="1"/>
    <col min="4382" max="4382" width="6.140625" style="30" customWidth="1"/>
    <col min="4383" max="4383" width="6.42578125" style="30" customWidth="1"/>
    <col min="4384" max="4384" width="5.85546875" style="30" customWidth="1"/>
    <col min="4385" max="4386" width="6.140625" style="30" customWidth="1"/>
    <col min="4387" max="4387" width="6.5703125" style="30" customWidth="1"/>
    <col min="4388" max="4388" width="6.140625" style="30" customWidth="1"/>
    <col min="4389" max="4389" width="5.85546875" style="30" customWidth="1"/>
    <col min="4390" max="4390" width="6.42578125" style="30" customWidth="1"/>
    <col min="4391" max="4391" width="0" style="30" hidden="1" customWidth="1"/>
    <col min="4392" max="4608" width="9.140625" style="30"/>
    <col min="4609" max="4609" width="4" style="30" customWidth="1"/>
    <col min="4610" max="4610" width="35.7109375" style="30" customWidth="1"/>
    <col min="4611" max="4612" width="6.85546875" style="30" customWidth="1"/>
    <col min="4613" max="4613" width="5.42578125" style="30" customWidth="1"/>
    <col min="4614" max="4614" width="5.85546875" style="30" customWidth="1"/>
    <col min="4615" max="4615" width="6.85546875" style="30" customWidth="1"/>
    <col min="4616" max="4616" width="6.7109375" style="30" customWidth="1"/>
    <col min="4617" max="4617" width="5.140625" style="30" customWidth="1"/>
    <col min="4618" max="4618" width="4.85546875" style="30" customWidth="1"/>
    <col min="4619" max="4619" width="6.5703125" style="30" customWidth="1"/>
    <col min="4620" max="4620" width="6.28515625" style="30" customWidth="1"/>
    <col min="4621" max="4621" width="5.140625" style="30" customWidth="1"/>
    <col min="4622" max="4622" width="5.85546875" style="30" customWidth="1"/>
    <col min="4623" max="4623" width="6" style="30" customWidth="1"/>
    <col min="4624" max="4624" width="6.28515625" style="30" customWidth="1"/>
    <col min="4625" max="4625" width="5.140625" style="30" customWidth="1"/>
    <col min="4626" max="4626" width="5.42578125" style="30" customWidth="1"/>
    <col min="4627" max="4630" width="0" style="30" hidden="1" customWidth="1"/>
    <col min="4631" max="4631" width="6.5703125" style="30" customWidth="1"/>
    <col min="4632" max="4632" width="6" style="30" customWidth="1"/>
    <col min="4633" max="4634" width="6.140625" style="30" customWidth="1"/>
    <col min="4635" max="4635" width="6.5703125" style="30" customWidth="1"/>
    <col min="4636" max="4636" width="6.85546875" style="30" customWidth="1"/>
    <col min="4637" max="4637" width="6" style="30" customWidth="1"/>
    <col min="4638" max="4638" width="6.140625" style="30" customWidth="1"/>
    <col min="4639" max="4639" width="6.42578125" style="30" customWidth="1"/>
    <col min="4640" max="4640" width="5.85546875" style="30" customWidth="1"/>
    <col min="4641" max="4642" width="6.140625" style="30" customWidth="1"/>
    <col min="4643" max="4643" width="6.5703125" style="30" customWidth="1"/>
    <col min="4644" max="4644" width="6.140625" style="30" customWidth="1"/>
    <col min="4645" max="4645" width="5.85546875" style="30" customWidth="1"/>
    <col min="4646" max="4646" width="6.42578125" style="30" customWidth="1"/>
    <col min="4647" max="4647" width="0" style="30" hidden="1" customWidth="1"/>
    <col min="4648" max="4864" width="9.140625" style="30"/>
    <col min="4865" max="4865" width="4" style="30" customWidth="1"/>
    <col min="4866" max="4866" width="35.7109375" style="30" customWidth="1"/>
    <col min="4867" max="4868" width="6.85546875" style="30" customWidth="1"/>
    <col min="4869" max="4869" width="5.42578125" style="30" customWidth="1"/>
    <col min="4870" max="4870" width="5.85546875" style="30" customWidth="1"/>
    <col min="4871" max="4871" width="6.85546875" style="30" customWidth="1"/>
    <col min="4872" max="4872" width="6.7109375" style="30" customWidth="1"/>
    <col min="4873" max="4873" width="5.140625" style="30" customWidth="1"/>
    <col min="4874" max="4874" width="4.85546875" style="30" customWidth="1"/>
    <col min="4875" max="4875" width="6.5703125" style="30" customWidth="1"/>
    <col min="4876" max="4876" width="6.28515625" style="30" customWidth="1"/>
    <col min="4877" max="4877" width="5.140625" style="30" customWidth="1"/>
    <col min="4878" max="4878" width="5.85546875" style="30" customWidth="1"/>
    <col min="4879" max="4879" width="6" style="30" customWidth="1"/>
    <col min="4880" max="4880" width="6.28515625" style="30" customWidth="1"/>
    <col min="4881" max="4881" width="5.140625" style="30" customWidth="1"/>
    <col min="4882" max="4882" width="5.42578125" style="30" customWidth="1"/>
    <col min="4883" max="4886" width="0" style="30" hidden="1" customWidth="1"/>
    <col min="4887" max="4887" width="6.5703125" style="30" customWidth="1"/>
    <col min="4888" max="4888" width="6" style="30" customWidth="1"/>
    <col min="4889" max="4890" width="6.140625" style="30" customWidth="1"/>
    <col min="4891" max="4891" width="6.5703125" style="30" customWidth="1"/>
    <col min="4892" max="4892" width="6.85546875" style="30" customWidth="1"/>
    <col min="4893" max="4893" width="6" style="30" customWidth="1"/>
    <col min="4894" max="4894" width="6.140625" style="30" customWidth="1"/>
    <col min="4895" max="4895" width="6.42578125" style="30" customWidth="1"/>
    <col min="4896" max="4896" width="5.85546875" style="30" customWidth="1"/>
    <col min="4897" max="4898" width="6.140625" style="30" customWidth="1"/>
    <col min="4899" max="4899" width="6.5703125" style="30" customWidth="1"/>
    <col min="4900" max="4900" width="6.140625" style="30" customWidth="1"/>
    <col min="4901" max="4901" width="5.85546875" style="30" customWidth="1"/>
    <col min="4902" max="4902" width="6.42578125" style="30" customWidth="1"/>
    <col min="4903" max="4903" width="0" style="30" hidden="1" customWidth="1"/>
    <col min="4904" max="5120" width="9.140625" style="30"/>
    <col min="5121" max="5121" width="4" style="30" customWidth="1"/>
    <col min="5122" max="5122" width="35.7109375" style="30" customWidth="1"/>
    <col min="5123" max="5124" width="6.85546875" style="30" customWidth="1"/>
    <col min="5125" max="5125" width="5.42578125" style="30" customWidth="1"/>
    <col min="5126" max="5126" width="5.85546875" style="30" customWidth="1"/>
    <col min="5127" max="5127" width="6.85546875" style="30" customWidth="1"/>
    <col min="5128" max="5128" width="6.7109375" style="30" customWidth="1"/>
    <col min="5129" max="5129" width="5.140625" style="30" customWidth="1"/>
    <col min="5130" max="5130" width="4.85546875" style="30" customWidth="1"/>
    <col min="5131" max="5131" width="6.5703125" style="30" customWidth="1"/>
    <col min="5132" max="5132" width="6.28515625" style="30" customWidth="1"/>
    <col min="5133" max="5133" width="5.140625" style="30" customWidth="1"/>
    <col min="5134" max="5134" width="5.85546875" style="30" customWidth="1"/>
    <col min="5135" max="5135" width="6" style="30" customWidth="1"/>
    <col min="5136" max="5136" width="6.28515625" style="30" customWidth="1"/>
    <col min="5137" max="5137" width="5.140625" style="30" customWidth="1"/>
    <col min="5138" max="5138" width="5.42578125" style="30" customWidth="1"/>
    <col min="5139" max="5142" width="0" style="30" hidden="1" customWidth="1"/>
    <col min="5143" max="5143" width="6.5703125" style="30" customWidth="1"/>
    <col min="5144" max="5144" width="6" style="30" customWidth="1"/>
    <col min="5145" max="5146" width="6.140625" style="30" customWidth="1"/>
    <col min="5147" max="5147" width="6.5703125" style="30" customWidth="1"/>
    <col min="5148" max="5148" width="6.85546875" style="30" customWidth="1"/>
    <col min="5149" max="5149" width="6" style="30" customWidth="1"/>
    <col min="5150" max="5150" width="6.140625" style="30" customWidth="1"/>
    <col min="5151" max="5151" width="6.42578125" style="30" customWidth="1"/>
    <col min="5152" max="5152" width="5.85546875" style="30" customWidth="1"/>
    <col min="5153" max="5154" width="6.140625" style="30" customWidth="1"/>
    <col min="5155" max="5155" width="6.5703125" style="30" customWidth="1"/>
    <col min="5156" max="5156" width="6.140625" style="30" customWidth="1"/>
    <col min="5157" max="5157" width="5.85546875" style="30" customWidth="1"/>
    <col min="5158" max="5158" width="6.42578125" style="30" customWidth="1"/>
    <col min="5159" max="5159" width="0" style="30" hidden="1" customWidth="1"/>
    <col min="5160" max="5376" width="9.140625" style="30"/>
    <col min="5377" max="5377" width="4" style="30" customWidth="1"/>
    <col min="5378" max="5378" width="35.7109375" style="30" customWidth="1"/>
    <col min="5379" max="5380" width="6.85546875" style="30" customWidth="1"/>
    <col min="5381" max="5381" width="5.42578125" style="30" customWidth="1"/>
    <col min="5382" max="5382" width="5.85546875" style="30" customWidth="1"/>
    <col min="5383" max="5383" width="6.85546875" style="30" customWidth="1"/>
    <col min="5384" max="5384" width="6.7109375" style="30" customWidth="1"/>
    <col min="5385" max="5385" width="5.140625" style="30" customWidth="1"/>
    <col min="5386" max="5386" width="4.85546875" style="30" customWidth="1"/>
    <col min="5387" max="5387" width="6.5703125" style="30" customWidth="1"/>
    <col min="5388" max="5388" width="6.28515625" style="30" customWidth="1"/>
    <col min="5389" max="5389" width="5.140625" style="30" customWidth="1"/>
    <col min="5390" max="5390" width="5.85546875" style="30" customWidth="1"/>
    <col min="5391" max="5391" width="6" style="30" customWidth="1"/>
    <col min="5392" max="5392" width="6.28515625" style="30" customWidth="1"/>
    <col min="5393" max="5393" width="5.140625" style="30" customWidth="1"/>
    <col min="5394" max="5394" width="5.42578125" style="30" customWidth="1"/>
    <col min="5395" max="5398" width="0" style="30" hidden="1" customWidth="1"/>
    <col min="5399" max="5399" width="6.5703125" style="30" customWidth="1"/>
    <col min="5400" max="5400" width="6" style="30" customWidth="1"/>
    <col min="5401" max="5402" width="6.140625" style="30" customWidth="1"/>
    <col min="5403" max="5403" width="6.5703125" style="30" customWidth="1"/>
    <col min="5404" max="5404" width="6.85546875" style="30" customWidth="1"/>
    <col min="5405" max="5405" width="6" style="30" customWidth="1"/>
    <col min="5406" max="5406" width="6.140625" style="30" customWidth="1"/>
    <col min="5407" max="5407" width="6.42578125" style="30" customWidth="1"/>
    <col min="5408" max="5408" width="5.85546875" style="30" customWidth="1"/>
    <col min="5409" max="5410" width="6.140625" style="30" customWidth="1"/>
    <col min="5411" max="5411" width="6.5703125" style="30" customWidth="1"/>
    <col min="5412" max="5412" width="6.140625" style="30" customWidth="1"/>
    <col min="5413" max="5413" width="5.85546875" style="30" customWidth="1"/>
    <col min="5414" max="5414" width="6.42578125" style="30" customWidth="1"/>
    <col min="5415" max="5415" width="0" style="30" hidden="1" customWidth="1"/>
    <col min="5416" max="5632" width="9.140625" style="30"/>
    <col min="5633" max="5633" width="4" style="30" customWidth="1"/>
    <col min="5634" max="5634" width="35.7109375" style="30" customWidth="1"/>
    <col min="5635" max="5636" width="6.85546875" style="30" customWidth="1"/>
    <col min="5637" max="5637" width="5.42578125" style="30" customWidth="1"/>
    <col min="5638" max="5638" width="5.85546875" style="30" customWidth="1"/>
    <col min="5639" max="5639" width="6.85546875" style="30" customWidth="1"/>
    <col min="5640" max="5640" width="6.7109375" style="30" customWidth="1"/>
    <col min="5641" max="5641" width="5.140625" style="30" customWidth="1"/>
    <col min="5642" max="5642" width="4.85546875" style="30" customWidth="1"/>
    <col min="5643" max="5643" width="6.5703125" style="30" customWidth="1"/>
    <col min="5644" max="5644" width="6.28515625" style="30" customWidth="1"/>
    <col min="5645" max="5645" width="5.140625" style="30" customWidth="1"/>
    <col min="5646" max="5646" width="5.85546875" style="30" customWidth="1"/>
    <col min="5647" max="5647" width="6" style="30" customWidth="1"/>
    <col min="5648" max="5648" width="6.28515625" style="30" customWidth="1"/>
    <col min="5649" max="5649" width="5.140625" style="30" customWidth="1"/>
    <col min="5650" max="5650" width="5.42578125" style="30" customWidth="1"/>
    <col min="5651" max="5654" width="0" style="30" hidden="1" customWidth="1"/>
    <col min="5655" max="5655" width="6.5703125" style="30" customWidth="1"/>
    <col min="5656" max="5656" width="6" style="30" customWidth="1"/>
    <col min="5657" max="5658" width="6.140625" style="30" customWidth="1"/>
    <col min="5659" max="5659" width="6.5703125" style="30" customWidth="1"/>
    <col min="5660" max="5660" width="6.85546875" style="30" customWidth="1"/>
    <col min="5661" max="5661" width="6" style="30" customWidth="1"/>
    <col min="5662" max="5662" width="6.140625" style="30" customWidth="1"/>
    <col min="5663" max="5663" width="6.42578125" style="30" customWidth="1"/>
    <col min="5664" max="5664" width="5.85546875" style="30" customWidth="1"/>
    <col min="5665" max="5666" width="6.140625" style="30" customWidth="1"/>
    <col min="5667" max="5667" width="6.5703125" style="30" customWidth="1"/>
    <col min="5668" max="5668" width="6.140625" style="30" customWidth="1"/>
    <col min="5669" max="5669" width="5.85546875" style="30" customWidth="1"/>
    <col min="5670" max="5670" width="6.42578125" style="30" customWidth="1"/>
    <col min="5671" max="5671" width="0" style="30" hidden="1" customWidth="1"/>
    <col min="5672" max="5888" width="9.140625" style="30"/>
    <col min="5889" max="5889" width="4" style="30" customWidth="1"/>
    <col min="5890" max="5890" width="35.7109375" style="30" customWidth="1"/>
    <col min="5891" max="5892" width="6.85546875" style="30" customWidth="1"/>
    <col min="5893" max="5893" width="5.42578125" style="30" customWidth="1"/>
    <col min="5894" max="5894" width="5.85546875" style="30" customWidth="1"/>
    <col min="5895" max="5895" width="6.85546875" style="30" customWidth="1"/>
    <col min="5896" max="5896" width="6.7109375" style="30" customWidth="1"/>
    <col min="5897" max="5897" width="5.140625" style="30" customWidth="1"/>
    <col min="5898" max="5898" width="4.85546875" style="30" customWidth="1"/>
    <col min="5899" max="5899" width="6.5703125" style="30" customWidth="1"/>
    <col min="5900" max="5900" width="6.28515625" style="30" customWidth="1"/>
    <col min="5901" max="5901" width="5.140625" style="30" customWidth="1"/>
    <col min="5902" max="5902" width="5.85546875" style="30" customWidth="1"/>
    <col min="5903" max="5903" width="6" style="30" customWidth="1"/>
    <col min="5904" max="5904" width="6.28515625" style="30" customWidth="1"/>
    <col min="5905" max="5905" width="5.140625" style="30" customWidth="1"/>
    <col min="5906" max="5906" width="5.42578125" style="30" customWidth="1"/>
    <col min="5907" max="5910" width="0" style="30" hidden="1" customWidth="1"/>
    <col min="5911" max="5911" width="6.5703125" style="30" customWidth="1"/>
    <col min="5912" max="5912" width="6" style="30" customWidth="1"/>
    <col min="5913" max="5914" width="6.140625" style="30" customWidth="1"/>
    <col min="5915" max="5915" width="6.5703125" style="30" customWidth="1"/>
    <col min="5916" max="5916" width="6.85546875" style="30" customWidth="1"/>
    <col min="5917" max="5917" width="6" style="30" customWidth="1"/>
    <col min="5918" max="5918" width="6.140625" style="30" customWidth="1"/>
    <col min="5919" max="5919" width="6.42578125" style="30" customWidth="1"/>
    <col min="5920" max="5920" width="5.85546875" style="30" customWidth="1"/>
    <col min="5921" max="5922" width="6.140625" style="30" customWidth="1"/>
    <col min="5923" max="5923" width="6.5703125" style="30" customWidth="1"/>
    <col min="5924" max="5924" width="6.140625" style="30" customWidth="1"/>
    <col min="5925" max="5925" width="5.85546875" style="30" customWidth="1"/>
    <col min="5926" max="5926" width="6.42578125" style="30" customWidth="1"/>
    <col min="5927" max="5927" width="0" style="30" hidden="1" customWidth="1"/>
    <col min="5928" max="6144" width="9.140625" style="30"/>
    <col min="6145" max="6145" width="4" style="30" customWidth="1"/>
    <col min="6146" max="6146" width="35.7109375" style="30" customWidth="1"/>
    <col min="6147" max="6148" width="6.85546875" style="30" customWidth="1"/>
    <col min="6149" max="6149" width="5.42578125" style="30" customWidth="1"/>
    <col min="6150" max="6150" width="5.85546875" style="30" customWidth="1"/>
    <col min="6151" max="6151" width="6.85546875" style="30" customWidth="1"/>
    <col min="6152" max="6152" width="6.7109375" style="30" customWidth="1"/>
    <col min="6153" max="6153" width="5.140625" style="30" customWidth="1"/>
    <col min="6154" max="6154" width="4.85546875" style="30" customWidth="1"/>
    <col min="6155" max="6155" width="6.5703125" style="30" customWidth="1"/>
    <col min="6156" max="6156" width="6.28515625" style="30" customWidth="1"/>
    <col min="6157" max="6157" width="5.140625" style="30" customWidth="1"/>
    <col min="6158" max="6158" width="5.85546875" style="30" customWidth="1"/>
    <col min="6159" max="6159" width="6" style="30" customWidth="1"/>
    <col min="6160" max="6160" width="6.28515625" style="30" customWidth="1"/>
    <col min="6161" max="6161" width="5.140625" style="30" customWidth="1"/>
    <col min="6162" max="6162" width="5.42578125" style="30" customWidth="1"/>
    <col min="6163" max="6166" width="0" style="30" hidden="1" customWidth="1"/>
    <col min="6167" max="6167" width="6.5703125" style="30" customWidth="1"/>
    <col min="6168" max="6168" width="6" style="30" customWidth="1"/>
    <col min="6169" max="6170" width="6.140625" style="30" customWidth="1"/>
    <col min="6171" max="6171" width="6.5703125" style="30" customWidth="1"/>
    <col min="6172" max="6172" width="6.85546875" style="30" customWidth="1"/>
    <col min="6173" max="6173" width="6" style="30" customWidth="1"/>
    <col min="6174" max="6174" width="6.140625" style="30" customWidth="1"/>
    <col min="6175" max="6175" width="6.42578125" style="30" customWidth="1"/>
    <col min="6176" max="6176" width="5.85546875" style="30" customWidth="1"/>
    <col min="6177" max="6178" width="6.140625" style="30" customWidth="1"/>
    <col min="6179" max="6179" width="6.5703125" style="30" customWidth="1"/>
    <col min="6180" max="6180" width="6.140625" style="30" customWidth="1"/>
    <col min="6181" max="6181" width="5.85546875" style="30" customWidth="1"/>
    <col min="6182" max="6182" width="6.42578125" style="30" customWidth="1"/>
    <col min="6183" max="6183" width="0" style="30" hidden="1" customWidth="1"/>
    <col min="6184" max="6400" width="9.140625" style="30"/>
    <col min="6401" max="6401" width="4" style="30" customWidth="1"/>
    <col min="6402" max="6402" width="35.7109375" style="30" customWidth="1"/>
    <col min="6403" max="6404" width="6.85546875" style="30" customWidth="1"/>
    <col min="6405" max="6405" width="5.42578125" style="30" customWidth="1"/>
    <col min="6406" max="6406" width="5.85546875" style="30" customWidth="1"/>
    <col min="6407" max="6407" width="6.85546875" style="30" customWidth="1"/>
    <col min="6408" max="6408" width="6.7109375" style="30" customWidth="1"/>
    <col min="6409" max="6409" width="5.140625" style="30" customWidth="1"/>
    <col min="6410" max="6410" width="4.85546875" style="30" customWidth="1"/>
    <col min="6411" max="6411" width="6.5703125" style="30" customWidth="1"/>
    <col min="6412" max="6412" width="6.28515625" style="30" customWidth="1"/>
    <col min="6413" max="6413" width="5.140625" style="30" customWidth="1"/>
    <col min="6414" max="6414" width="5.85546875" style="30" customWidth="1"/>
    <col min="6415" max="6415" width="6" style="30" customWidth="1"/>
    <col min="6416" max="6416" width="6.28515625" style="30" customWidth="1"/>
    <col min="6417" max="6417" width="5.140625" style="30" customWidth="1"/>
    <col min="6418" max="6418" width="5.42578125" style="30" customWidth="1"/>
    <col min="6419" max="6422" width="0" style="30" hidden="1" customWidth="1"/>
    <col min="6423" max="6423" width="6.5703125" style="30" customWidth="1"/>
    <col min="6424" max="6424" width="6" style="30" customWidth="1"/>
    <col min="6425" max="6426" width="6.140625" style="30" customWidth="1"/>
    <col min="6427" max="6427" width="6.5703125" style="30" customWidth="1"/>
    <col min="6428" max="6428" width="6.85546875" style="30" customWidth="1"/>
    <col min="6429" max="6429" width="6" style="30" customWidth="1"/>
    <col min="6430" max="6430" width="6.140625" style="30" customWidth="1"/>
    <col min="6431" max="6431" width="6.42578125" style="30" customWidth="1"/>
    <col min="6432" max="6432" width="5.85546875" style="30" customWidth="1"/>
    <col min="6433" max="6434" width="6.140625" style="30" customWidth="1"/>
    <col min="6435" max="6435" width="6.5703125" style="30" customWidth="1"/>
    <col min="6436" max="6436" width="6.140625" style="30" customWidth="1"/>
    <col min="6437" max="6437" width="5.85546875" style="30" customWidth="1"/>
    <col min="6438" max="6438" width="6.42578125" style="30" customWidth="1"/>
    <col min="6439" max="6439" width="0" style="30" hidden="1" customWidth="1"/>
    <col min="6440" max="6656" width="9.140625" style="30"/>
    <col min="6657" max="6657" width="4" style="30" customWidth="1"/>
    <col min="6658" max="6658" width="35.7109375" style="30" customWidth="1"/>
    <col min="6659" max="6660" width="6.85546875" style="30" customWidth="1"/>
    <col min="6661" max="6661" width="5.42578125" style="30" customWidth="1"/>
    <col min="6662" max="6662" width="5.85546875" style="30" customWidth="1"/>
    <col min="6663" max="6663" width="6.85546875" style="30" customWidth="1"/>
    <col min="6664" max="6664" width="6.7109375" style="30" customWidth="1"/>
    <col min="6665" max="6665" width="5.140625" style="30" customWidth="1"/>
    <col min="6666" max="6666" width="4.85546875" style="30" customWidth="1"/>
    <col min="6667" max="6667" width="6.5703125" style="30" customWidth="1"/>
    <col min="6668" max="6668" width="6.28515625" style="30" customWidth="1"/>
    <col min="6669" max="6669" width="5.140625" style="30" customWidth="1"/>
    <col min="6670" max="6670" width="5.85546875" style="30" customWidth="1"/>
    <col min="6671" max="6671" width="6" style="30" customWidth="1"/>
    <col min="6672" max="6672" width="6.28515625" style="30" customWidth="1"/>
    <col min="6673" max="6673" width="5.140625" style="30" customWidth="1"/>
    <col min="6674" max="6674" width="5.42578125" style="30" customWidth="1"/>
    <col min="6675" max="6678" width="0" style="30" hidden="1" customWidth="1"/>
    <col min="6679" max="6679" width="6.5703125" style="30" customWidth="1"/>
    <col min="6680" max="6680" width="6" style="30" customWidth="1"/>
    <col min="6681" max="6682" width="6.140625" style="30" customWidth="1"/>
    <col min="6683" max="6683" width="6.5703125" style="30" customWidth="1"/>
    <col min="6684" max="6684" width="6.85546875" style="30" customWidth="1"/>
    <col min="6685" max="6685" width="6" style="30" customWidth="1"/>
    <col min="6686" max="6686" width="6.140625" style="30" customWidth="1"/>
    <col min="6687" max="6687" width="6.42578125" style="30" customWidth="1"/>
    <col min="6688" max="6688" width="5.85546875" style="30" customWidth="1"/>
    <col min="6689" max="6690" width="6.140625" style="30" customWidth="1"/>
    <col min="6691" max="6691" width="6.5703125" style="30" customWidth="1"/>
    <col min="6692" max="6692" width="6.140625" style="30" customWidth="1"/>
    <col min="6693" max="6693" width="5.85546875" style="30" customWidth="1"/>
    <col min="6694" max="6694" width="6.42578125" style="30" customWidth="1"/>
    <col min="6695" max="6695" width="0" style="30" hidden="1" customWidth="1"/>
    <col min="6696" max="6912" width="9.140625" style="30"/>
    <col min="6913" max="6913" width="4" style="30" customWidth="1"/>
    <col min="6914" max="6914" width="35.7109375" style="30" customWidth="1"/>
    <col min="6915" max="6916" width="6.85546875" style="30" customWidth="1"/>
    <col min="6917" max="6917" width="5.42578125" style="30" customWidth="1"/>
    <col min="6918" max="6918" width="5.85546875" style="30" customWidth="1"/>
    <col min="6919" max="6919" width="6.85546875" style="30" customWidth="1"/>
    <col min="6920" max="6920" width="6.7109375" style="30" customWidth="1"/>
    <col min="6921" max="6921" width="5.140625" style="30" customWidth="1"/>
    <col min="6922" max="6922" width="4.85546875" style="30" customWidth="1"/>
    <col min="6923" max="6923" width="6.5703125" style="30" customWidth="1"/>
    <col min="6924" max="6924" width="6.28515625" style="30" customWidth="1"/>
    <col min="6925" max="6925" width="5.140625" style="30" customWidth="1"/>
    <col min="6926" max="6926" width="5.85546875" style="30" customWidth="1"/>
    <col min="6927" max="6927" width="6" style="30" customWidth="1"/>
    <col min="6928" max="6928" width="6.28515625" style="30" customWidth="1"/>
    <col min="6929" max="6929" width="5.140625" style="30" customWidth="1"/>
    <col min="6930" max="6930" width="5.42578125" style="30" customWidth="1"/>
    <col min="6931" max="6934" width="0" style="30" hidden="1" customWidth="1"/>
    <col min="6935" max="6935" width="6.5703125" style="30" customWidth="1"/>
    <col min="6936" max="6936" width="6" style="30" customWidth="1"/>
    <col min="6937" max="6938" width="6.140625" style="30" customWidth="1"/>
    <col min="6939" max="6939" width="6.5703125" style="30" customWidth="1"/>
    <col min="6940" max="6940" width="6.85546875" style="30" customWidth="1"/>
    <col min="6941" max="6941" width="6" style="30" customWidth="1"/>
    <col min="6942" max="6942" width="6.140625" style="30" customWidth="1"/>
    <col min="6943" max="6943" width="6.42578125" style="30" customWidth="1"/>
    <col min="6944" max="6944" width="5.85546875" style="30" customWidth="1"/>
    <col min="6945" max="6946" width="6.140625" style="30" customWidth="1"/>
    <col min="6947" max="6947" width="6.5703125" style="30" customWidth="1"/>
    <col min="6948" max="6948" width="6.140625" style="30" customWidth="1"/>
    <col min="6949" max="6949" width="5.85546875" style="30" customWidth="1"/>
    <col min="6950" max="6950" width="6.42578125" style="30" customWidth="1"/>
    <col min="6951" max="6951" width="0" style="30" hidden="1" customWidth="1"/>
    <col min="6952" max="7168" width="9.140625" style="30"/>
    <col min="7169" max="7169" width="4" style="30" customWidth="1"/>
    <col min="7170" max="7170" width="35.7109375" style="30" customWidth="1"/>
    <col min="7171" max="7172" width="6.85546875" style="30" customWidth="1"/>
    <col min="7173" max="7173" width="5.42578125" style="30" customWidth="1"/>
    <col min="7174" max="7174" width="5.85546875" style="30" customWidth="1"/>
    <col min="7175" max="7175" width="6.85546875" style="30" customWidth="1"/>
    <col min="7176" max="7176" width="6.7109375" style="30" customWidth="1"/>
    <col min="7177" max="7177" width="5.140625" style="30" customWidth="1"/>
    <col min="7178" max="7178" width="4.85546875" style="30" customWidth="1"/>
    <col min="7179" max="7179" width="6.5703125" style="30" customWidth="1"/>
    <col min="7180" max="7180" width="6.28515625" style="30" customWidth="1"/>
    <col min="7181" max="7181" width="5.140625" style="30" customWidth="1"/>
    <col min="7182" max="7182" width="5.85546875" style="30" customWidth="1"/>
    <col min="7183" max="7183" width="6" style="30" customWidth="1"/>
    <col min="7184" max="7184" width="6.28515625" style="30" customWidth="1"/>
    <col min="7185" max="7185" width="5.140625" style="30" customWidth="1"/>
    <col min="7186" max="7186" width="5.42578125" style="30" customWidth="1"/>
    <col min="7187" max="7190" width="0" style="30" hidden="1" customWidth="1"/>
    <col min="7191" max="7191" width="6.5703125" style="30" customWidth="1"/>
    <col min="7192" max="7192" width="6" style="30" customWidth="1"/>
    <col min="7193" max="7194" width="6.140625" style="30" customWidth="1"/>
    <col min="7195" max="7195" width="6.5703125" style="30" customWidth="1"/>
    <col min="7196" max="7196" width="6.85546875" style="30" customWidth="1"/>
    <col min="7197" max="7197" width="6" style="30" customWidth="1"/>
    <col min="7198" max="7198" width="6.140625" style="30" customWidth="1"/>
    <col min="7199" max="7199" width="6.42578125" style="30" customWidth="1"/>
    <col min="7200" max="7200" width="5.85546875" style="30" customWidth="1"/>
    <col min="7201" max="7202" width="6.140625" style="30" customWidth="1"/>
    <col min="7203" max="7203" width="6.5703125" style="30" customWidth="1"/>
    <col min="7204" max="7204" width="6.140625" style="30" customWidth="1"/>
    <col min="7205" max="7205" width="5.85546875" style="30" customWidth="1"/>
    <col min="7206" max="7206" width="6.42578125" style="30" customWidth="1"/>
    <col min="7207" max="7207" width="0" style="30" hidden="1" customWidth="1"/>
    <col min="7208" max="7424" width="9.140625" style="30"/>
    <col min="7425" max="7425" width="4" style="30" customWidth="1"/>
    <col min="7426" max="7426" width="35.7109375" style="30" customWidth="1"/>
    <col min="7427" max="7428" width="6.85546875" style="30" customWidth="1"/>
    <col min="7429" max="7429" width="5.42578125" style="30" customWidth="1"/>
    <col min="7430" max="7430" width="5.85546875" style="30" customWidth="1"/>
    <col min="7431" max="7431" width="6.85546875" style="30" customWidth="1"/>
    <col min="7432" max="7432" width="6.7109375" style="30" customWidth="1"/>
    <col min="7433" max="7433" width="5.140625" style="30" customWidth="1"/>
    <col min="7434" max="7434" width="4.85546875" style="30" customWidth="1"/>
    <col min="7435" max="7435" width="6.5703125" style="30" customWidth="1"/>
    <col min="7436" max="7436" width="6.28515625" style="30" customWidth="1"/>
    <col min="7437" max="7437" width="5.140625" style="30" customWidth="1"/>
    <col min="7438" max="7438" width="5.85546875" style="30" customWidth="1"/>
    <col min="7439" max="7439" width="6" style="30" customWidth="1"/>
    <col min="7440" max="7440" width="6.28515625" style="30" customWidth="1"/>
    <col min="7441" max="7441" width="5.140625" style="30" customWidth="1"/>
    <col min="7442" max="7442" width="5.42578125" style="30" customWidth="1"/>
    <col min="7443" max="7446" width="0" style="30" hidden="1" customWidth="1"/>
    <col min="7447" max="7447" width="6.5703125" style="30" customWidth="1"/>
    <col min="7448" max="7448" width="6" style="30" customWidth="1"/>
    <col min="7449" max="7450" width="6.140625" style="30" customWidth="1"/>
    <col min="7451" max="7451" width="6.5703125" style="30" customWidth="1"/>
    <col min="7452" max="7452" width="6.85546875" style="30" customWidth="1"/>
    <col min="7453" max="7453" width="6" style="30" customWidth="1"/>
    <col min="7454" max="7454" width="6.140625" style="30" customWidth="1"/>
    <col min="7455" max="7455" width="6.42578125" style="30" customWidth="1"/>
    <col min="7456" max="7456" width="5.85546875" style="30" customWidth="1"/>
    <col min="7457" max="7458" width="6.140625" style="30" customWidth="1"/>
    <col min="7459" max="7459" width="6.5703125" style="30" customWidth="1"/>
    <col min="7460" max="7460" width="6.140625" style="30" customWidth="1"/>
    <col min="7461" max="7461" width="5.85546875" style="30" customWidth="1"/>
    <col min="7462" max="7462" width="6.42578125" style="30" customWidth="1"/>
    <col min="7463" max="7463" width="0" style="30" hidden="1" customWidth="1"/>
    <col min="7464" max="7680" width="9.140625" style="30"/>
    <col min="7681" max="7681" width="4" style="30" customWidth="1"/>
    <col min="7682" max="7682" width="35.7109375" style="30" customWidth="1"/>
    <col min="7683" max="7684" width="6.85546875" style="30" customWidth="1"/>
    <col min="7685" max="7685" width="5.42578125" style="30" customWidth="1"/>
    <col min="7686" max="7686" width="5.85546875" style="30" customWidth="1"/>
    <col min="7687" max="7687" width="6.85546875" style="30" customWidth="1"/>
    <col min="7688" max="7688" width="6.7109375" style="30" customWidth="1"/>
    <col min="7689" max="7689" width="5.140625" style="30" customWidth="1"/>
    <col min="7690" max="7690" width="4.85546875" style="30" customWidth="1"/>
    <col min="7691" max="7691" width="6.5703125" style="30" customWidth="1"/>
    <col min="7692" max="7692" width="6.28515625" style="30" customWidth="1"/>
    <col min="7693" max="7693" width="5.140625" style="30" customWidth="1"/>
    <col min="7694" max="7694" width="5.85546875" style="30" customWidth="1"/>
    <col min="7695" max="7695" width="6" style="30" customWidth="1"/>
    <col min="7696" max="7696" width="6.28515625" style="30" customWidth="1"/>
    <col min="7697" max="7697" width="5.140625" style="30" customWidth="1"/>
    <col min="7698" max="7698" width="5.42578125" style="30" customWidth="1"/>
    <col min="7699" max="7702" width="0" style="30" hidden="1" customWidth="1"/>
    <col min="7703" max="7703" width="6.5703125" style="30" customWidth="1"/>
    <col min="7704" max="7704" width="6" style="30" customWidth="1"/>
    <col min="7705" max="7706" width="6.140625" style="30" customWidth="1"/>
    <col min="7707" max="7707" width="6.5703125" style="30" customWidth="1"/>
    <col min="7708" max="7708" width="6.85546875" style="30" customWidth="1"/>
    <col min="7709" max="7709" width="6" style="30" customWidth="1"/>
    <col min="7710" max="7710" width="6.140625" style="30" customWidth="1"/>
    <col min="7711" max="7711" width="6.42578125" style="30" customWidth="1"/>
    <col min="7712" max="7712" width="5.85546875" style="30" customWidth="1"/>
    <col min="7713" max="7714" width="6.140625" style="30" customWidth="1"/>
    <col min="7715" max="7715" width="6.5703125" style="30" customWidth="1"/>
    <col min="7716" max="7716" width="6.140625" style="30" customWidth="1"/>
    <col min="7717" max="7717" width="5.85546875" style="30" customWidth="1"/>
    <col min="7718" max="7718" width="6.42578125" style="30" customWidth="1"/>
    <col min="7719" max="7719" width="0" style="30" hidden="1" customWidth="1"/>
    <col min="7720" max="7936" width="9.140625" style="30"/>
    <col min="7937" max="7937" width="4" style="30" customWidth="1"/>
    <col min="7938" max="7938" width="35.7109375" style="30" customWidth="1"/>
    <col min="7939" max="7940" width="6.85546875" style="30" customWidth="1"/>
    <col min="7941" max="7941" width="5.42578125" style="30" customWidth="1"/>
    <col min="7942" max="7942" width="5.85546875" style="30" customWidth="1"/>
    <col min="7943" max="7943" width="6.85546875" style="30" customWidth="1"/>
    <col min="7944" max="7944" width="6.7109375" style="30" customWidth="1"/>
    <col min="7945" max="7945" width="5.140625" style="30" customWidth="1"/>
    <col min="7946" max="7946" width="4.85546875" style="30" customWidth="1"/>
    <col min="7947" max="7947" width="6.5703125" style="30" customWidth="1"/>
    <col min="7948" max="7948" width="6.28515625" style="30" customWidth="1"/>
    <col min="7949" max="7949" width="5.140625" style="30" customWidth="1"/>
    <col min="7950" max="7950" width="5.85546875" style="30" customWidth="1"/>
    <col min="7951" max="7951" width="6" style="30" customWidth="1"/>
    <col min="7952" max="7952" width="6.28515625" style="30" customWidth="1"/>
    <col min="7953" max="7953" width="5.140625" style="30" customWidth="1"/>
    <col min="7954" max="7954" width="5.42578125" style="30" customWidth="1"/>
    <col min="7955" max="7958" width="0" style="30" hidden="1" customWidth="1"/>
    <col min="7959" max="7959" width="6.5703125" style="30" customWidth="1"/>
    <col min="7960" max="7960" width="6" style="30" customWidth="1"/>
    <col min="7961" max="7962" width="6.140625" style="30" customWidth="1"/>
    <col min="7963" max="7963" width="6.5703125" style="30" customWidth="1"/>
    <col min="7964" max="7964" width="6.85546875" style="30" customWidth="1"/>
    <col min="7965" max="7965" width="6" style="30" customWidth="1"/>
    <col min="7966" max="7966" width="6.140625" style="30" customWidth="1"/>
    <col min="7967" max="7967" width="6.42578125" style="30" customWidth="1"/>
    <col min="7968" max="7968" width="5.85546875" style="30" customWidth="1"/>
    <col min="7969" max="7970" width="6.140625" style="30" customWidth="1"/>
    <col min="7971" max="7971" width="6.5703125" style="30" customWidth="1"/>
    <col min="7972" max="7972" width="6.140625" style="30" customWidth="1"/>
    <col min="7973" max="7973" width="5.85546875" style="30" customWidth="1"/>
    <col min="7974" max="7974" width="6.42578125" style="30" customWidth="1"/>
    <col min="7975" max="7975" width="0" style="30" hidden="1" customWidth="1"/>
    <col min="7976" max="8192" width="9.140625" style="30"/>
    <col min="8193" max="8193" width="4" style="30" customWidth="1"/>
    <col min="8194" max="8194" width="35.7109375" style="30" customWidth="1"/>
    <col min="8195" max="8196" width="6.85546875" style="30" customWidth="1"/>
    <col min="8197" max="8197" width="5.42578125" style="30" customWidth="1"/>
    <col min="8198" max="8198" width="5.85546875" style="30" customWidth="1"/>
    <col min="8199" max="8199" width="6.85546875" style="30" customWidth="1"/>
    <col min="8200" max="8200" width="6.7109375" style="30" customWidth="1"/>
    <col min="8201" max="8201" width="5.140625" style="30" customWidth="1"/>
    <col min="8202" max="8202" width="4.85546875" style="30" customWidth="1"/>
    <col min="8203" max="8203" width="6.5703125" style="30" customWidth="1"/>
    <col min="8204" max="8204" width="6.28515625" style="30" customWidth="1"/>
    <col min="8205" max="8205" width="5.140625" style="30" customWidth="1"/>
    <col min="8206" max="8206" width="5.85546875" style="30" customWidth="1"/>
    <col min="8207" max="8207" width="6" style="30" customWidth="1"/>
    <col min="8208" max="8208" width="6.28515625" style="30" customWidth="1"/>
    <col min="8209" max="8209" width="5.140625" style="30" customWidth="1"/>
    <col min="8210" max="8210" width="5.42578125" style="30" customWidth="1"/>
    <col min="8211" max="8214" width="0" style="30" hidden="1" customWidth="1"/>
    <col min="8215" max="8215" width="6.5703125" style="30" customWidth="1"/>
    <col min="8216" max="8216" width="6" style="30" customWidth="1"/>
    <col min="8217" max="8218" width="6.140625" style="30" customWidth="1"/>
    <col min="8219" max="8219" width="6.5703125" style="30" customWidth="1"/>
    <col min="8220" max="8220" width="6.85546875" style="30" customWidth="1"/>
    <col min="8221" max="8221" width="6" style="30" customWidth="1"/>
    <col min="8222" max="8222" width="6.140625" style="30" customWidth="1"/>
    <col min="8223" max="8223" width="6.42578125" style="30" customWidth="1"/>
    <col min="8224" max="8224" width="5.85546875" style="30" customWidth="1"/>
    <col min="8225" max="8226" width="6.140625" style="30" customWidth="1"/>
    <col min="8227" max="8227" width="6.5703125" style="30" customWidth="1"/>
    <col min="8228" max="8228" width="6.140625" style="30" customWidth="1"/>
    <col min="8229" max="8229" width="5.85546875" style="30" customWidth="1"/>
    <col min="8230" max="8230" width="6.42578125" style="30" customWidth="1"/>
    <col min="8231" max="8231" width="0" style="30" hidden="1" customWidth="1"/>
    <col min="8232" max="8448" width="9.140625" style="30"/>
    <col min="8449" max="8449" width="4" style="30" customWidth="1"/>
    <col min="8450" max="8450" width="35.7109375" style="30" customWidth="1"/>
    <col min="8451" max="8452" width="6.85546875" style="30" customWidth="1"/>
    <col min="8453" max="8453" width="5.42578125" style="30" customWidth="1"/>
    <col min="8454" max="8454" width="5.85546875" style="30" customWidth="1"/>
    <col min="8455" max="8455" width="6.85546875" style="30" customWidth="1"/>
    <col min="8456" max="8456" width="6.7109375" style="30" customWidth="1"/>
    <col min="8457" max="8457" width="5.140625" style="30" customWidth="1"/>
    <col min="8458" max="8458" width="4.85546875" style="30" customWidth="1"/>
    <col min="8459" max="8459" width="6.5703125" style="30" customWidth="1"/>
    <col min="8460" max="8460" width="6.28515625" style="30" customWidth="1"/>
    <col min="8461" max="8461" width="5.140625" style="30" customWidth="1"/>
    <col min="8462" max="8462" width="5.85546875" style="30" customWidth="1"/>
    <col min="8463" max="8463" width="6" style="30" customWidth="1"/>
    <col min="8464" max="8464" width="6.28515625" style="30" customWidth="1"/>
    <col min="8465" max="8465" width="5.140625" style="30" customWidth="1"/>
    <col min="8466" max="8466" width="5.42578125" style="30" customWidth="1"/>
    <col min="8467" max="8470" width="0" style="30" hidden="1" customWidth="1"/>
    <col min="8471" max="8471" width="6.5703125" style="30" customWidth="1"/>
    <col min="8472" max="8472" width="6" style="30" customWidth="1"/>
    <col min="8473" max="8474" width="6.140625" style="30" customWidth="1"/>
    <col min="8475" max="8475" width="6.5703125" style="30" customWidth="1"/>
    <col min="8476" max="8476" width="6.85546875" style="30" customWidth="1"/>
    <col min="8477" max="8477" width="6" style="30" customWidth="1"/>
    <col min="8478" max="8478" width="6.140625" style="30" customWidth="1"/>
    <col min="8479" max="8479" width="6.42578125" style="30" customWidth="1"/>
    <col min="8480" max="8480" width="5.85546875" style="30" customWidth="1"/>
    <col min="8481" max="8482" width="6.140625" style="30" customWidth="1"/>
    <col min="8483" max="8483" width="6.5703125" style="30" customWidth="1"/>
    <col min="8484" max="8484" width="6.140625" style="30" customWidth="1"/>
    <col min="8485" max="8485" width="5.85546875" style="30" customWidth="1"/>
    <col min="8486" max="8486" width="6.42578125" style="30" customWidth="1"/>
    <col min="8487" max="8487" width="0" style="30" hidden="1" customWidth="1"/>
    <col min="8488" max="8704" width="9.140625" style="30"/>
    <col min="8705" max="8705" width="4" style="30" customWidth="1"/>
    <col min="8706" max="8706" width="35.7109375" style="30" customWidth="1"/>
    <col min="8707" max="8708" width="6.85546875" style="30" customWidth="1"/>
    <col min="8709" max="8709" width="5.42578125" style="30" customWidth="1"/>
    <col min="8710" max="8710" width="5.85546875" style="30" customWidth="1"/>
    <col min="8711" max="8711" width="6.85546875" style="30" customWidth="1"/>
    <col min="8712" max="8712" width="6.7109375" style="30" customWidth="1"/>
    <col min="8713" max="8713" width="5.140625" style="30" customWidth="1"/>
    <col min="8714" max="8714" width="4.85546875" style="30" customWidth="1"/>
    <col min="8715" max="8715" width="6.5703125" style="30" customWidth="1"/>
    <col min="8716" max="8716" width="6.28515625" style="30" customWidth="1"/>
    <col min="8717" max="8717" width="5.140625" style="30" customWidth="1"/>
    <col min="8718" max="8718" width="5.85546875" style="30" customWidth="1"/>
    <col min="8719" max="8719" width="6" style="30" customWidth="1"/>
    <col min="8720" max="8720" width="6.28515625" style="30" customWidth="1"/>
    <col min="8721" max="8721" width="5.140625" style="30" customWidth="1"/>
    <col min="8722" max="8722" width="5.42578125" style="30" customWidth="1"/>
    <col min="8723" max="8726" width="0" style="30" hidden="1" customWidth="1"/>
    <col min="8727" max="8727" width="6.5703125" style="30" customWidth="1"/>
    <col min="8728" max="8728" width="6" style="30" customWidth="1"/>
    <col min="8729" max="8730" width="6.140625" style="30" customWidth="1"/>
    <col min="8731" max="8731" width="6.5703125" style="30" customWidth="1"/>
    <col min="8732" max="8732" width="6.85546875" style="30" customWidth="1"/>
    <col min="8733" max="8733" width="6" style="30" customWidth="1"/>
    <col min="8734" max="8734" width="6.140625" style="30" customWidth="1"/>
    <col min="8735" max="8735" width="6.42578125" style="30" customWidth="1"/>
    <col min="8736" max="8736" width="5.85546875" style="30" customWidth="1"/>
    <col min="8737" max="8738" width="6.140625" style="30" customWidth="1"/>
    <col min="8739" max="8739" width="6.5703125" style="30" customWidth="1"/>
    <col min="8740" max="8740" width="6.140625" style="30" customWidth="1"/>
    <col min="8741" max="8741" width="5.85546875" style="30" customWidth="1"/>
    <col min="8742" max="8742" width="6.42578125" style="30" customWidth="1"/>
    <col min="8743" max="8743" width="0" style="30" hidden="1" customWidth="1"/>
    <col min="8744" max="8960" width="9.140625" style="30"/>
    <col min="8961" max="8961" width="4" style="30" customWidth="1"/>
    <col min="8962" max="8962" width="35.7109375" style="30" customWidth="1"/>
    <col min="8963" max="8964" width="6.85546875" style="30" customWidth="1"/>
    <col min="8965" max="8965" width="5.42578125" style="30" customWidth="1"/>
    <col min="8966" max="8966" width="5.85546875" style="30" customWidth="1"/>
    <col min="8967" max="8967" width="6.85546875" style="30" customWidth="1"/>
    <col min="8968" max="8968" width="6.7109375" style="30" customWidth="1"/>
    <col min="8969" max="8969" width="5.140625" style="30" customWidth="1"/>
    <col min="8970" max="8970" width="4.85546875" style="30" customWidth="1"/>
    <col min="8971" max="8971" width="6.5703125" style="30" customWidth="1"/>
    <col min="8972" max="8972" width="6.28515625" style="30" customWidth="1"/>
    <col min="8973" max="8973" width="5.140625" style="30" customWidth="1"/>
    <col min="8974" max="8974" width="5.85546875" style="30" customWidth="1"/>
    <col min="8975" max="8975" width="6" style="30" customWidth="1"/>
    <col min="8976" max="8976" width="6.28515625" style="30" customWidth="1"/>
    <col min="8977" max="8977" width="5.140625" style="30" customWidth="1"/>
    <col min="8978" max="8978" width="5.42578125" style="30" customWidth="1"/>
    <col min="8979" max="8982" width="0" style="30" hidden="1" customWidth="1"/>
    <col min="8983" max="8983" width="6.5703125" style="30" customWidth="1"/>
    <col min="8984" max="8984" width="6" style="30" customWidth="1"/>
    <col min="8985" max="8986" width="6.140625" style="30" customWidth="1"/>
    <col min="8987" max="8987" width="6.5703125" style="30" customWidth="1"/>
    <col min="8988" max="8988" width="6.85546875" style="30" customWidth="1"/>
    <col min="8989" max="8989" width="6" style="30" customWidth="1"/>
    <col min="8990" max="8990" width="6.140625" style="30" customWidth="1"/>
    <col min="8991" max="8991" width="6.42578125" style="30" customWidth="1"/>
    <col min="8992" max="8992" width="5.85546875" style="30" customWidth="1"/>
    <col min="8993" max="8994" width="6.140625" style="30" customWidth="1"/>
    <col min="8995" max="8995" width="6.5703125" style="30" customWidth="1"/>
    <col min="8996" max="8996" width="6.140625" style="30" customWidth="1"/>
    <col min="8997" max="8997" width="5.85546875" style="30" customWidth="1"/>
    <col min="8998" max="8998" width="6.42578125" style="30" customWidth="1"/>
    <col min="8999" max="8999" width="0" style="30" hidden="1" customWidth="1"/>
    <col min="9000" max="9216" width="9.140625" style="30"/>
    <col min="9217" max="9217" width="4" style="30" customWidth="1"/>
    <col min="9218" max="9218" width="35.7109375" style="30" customWidth="1"/>
    <col min="9219" max="9220" width="6.85546875" style="30" customWidth="1"/>
    <col min="9221" max="9221" width="5.42578125" style="30" customWidth="1"/>
    <col min="9222" max="9222" width="5.85546875" style="30" customWidth="1"/>
    <col min="9223" max="9223" width="6.85546875" style="30" customWidth="1"/>
    <col min="9224" max="9224" width="6.7109375" style="30" customWidth="1"/>
    <col min="9225" max="9225" width="5.140625" style="30" customWidth="1"/>
    <col min="9226" max="9226" width="4.85546875" style="30" customWidth="1"/>
    <col min="9227" max="9227" width="6.5703125" style="30" customWidth="1"/>
    <col min="9228" max="9228" width="6.28515625" style="30" customWidth="1"/>
    <col min="9229" max="9229" width="5.140625" style="30" customWidth="1"/>
    <col min="9230" max="9230" width="5.85546875" style="30" customWidth="1"/>
    <col min="9231" max="9231" width="6" style="30" customWidth="1"/>
    <col min="9232" max="9232" width="6.28515625" style="30" customWidth="1"/>
    <col min="9233" max="9233" width="5.140625" style="30" customWidth="1"/>
    <col min="9234" max="9234" width="5.42578125" style="30" customWidth="1"/>
    <col min="9235" max="9238" width="0" style="30" hidden="1" customWidth="1"/>
    <col min="9239" max="9239" width="6.5703125" style="30" customWidth="1"/>
    <col min="9240" max="9240" width="6" style="30" customWidth="1"/>
    <col min="9241" max="9242" width="6.140625" style="30" customWidth="1"/>
    <col min="9243" max="9243" width="6.5703125" style="30" customWidth="1"/>
    <col min="9244" max="9244" width="6.85546875" style="30" customWidth="1"/>
    <col min="9245" max="9245" width="6" style="30" customWidth="1"/>
    <col min="9246" max="9246" width="6.140625" style="30" customWidth="1"/>
    <col min="9247" max="9247" width="6.42578125" style="30" customWidth="1"/>
    <col min="9248" max="9248" width="5.85546875" style="30" customWidth="1"/>
    <col min="9249" max="9250" width="6.140625" style="30" customWidth="1"/>
    <col min="9251" max="9251" width="6.5703125" style="30" customWidth="1"/>
    <col min="9252" max="9252" width="6.140625" style="30" customWidth="1"/>
    <col min="9253" max="9253" width="5.85546875" style="30" customWidth="1"/>
    <col min="9254" max="9254" width="6.42578125" style="30" customWidth="1"/>
    <col min="9255" max="9255" width="0" style="30" hidden="1" customWidth="1"/>
    <col min="9256" max="9472" width="9.140625" style="30"/>
    <col min="9473" max="9473" width="4" style="30" customWidth="1"/>
    <col min="9474" max="9474" width="35.7109375" style="30" customWidth="1"/>
    <col min="9475" max="9476" width="6.85546875" style="30" customWidth="1"/>
    <col min="9477" max="9477" width="5.42578125" style="30" customWidth="1"/>
    <col min="9478" max="9478" width="5.85546875" style="30" customWidth="1"/>
    <col min="9479" max="9479" width="6.85546875" style="30" customWidth="1"/>
    <col min="9480" max="9480" width="6.7109375" style="30" customWidth="1"/>
    <col min="9481" max="9481" width="5.140625" style="30" customWidth="1"/>
    <col min="9482" max="9482" width="4.85546875" style="30" customWidth="1"/>
    <col min="9483" max="9483" width="6.5703125" style="30" customWidth="1"/>
    <col min="9484" max="9484" width="6.28515625" style="30" customWidth="1"/>
    <col min="9485" max="9485" width="5.140625" style="30" customWidth="1"/>
    <col min="9486" max="9486" width="5.85546875" style="30" customWidth="1"/>
    <col min="9487" max="9487" width="6" style="30" customWidth="1"/>
    <col min="9488" max="9488" width="6.28515625" style="30" customWidth="1"/>
    <col min="9489" max="9489" width="5.140625" style="30" customWidth="1"/>
    <col min="9490" max="9490" width="5.42578125" style="30" customWidth="1"/>
    <col min="9491" max="9494" width="0" style="30" hidden="1" customWidth="1"/>
    <col min="9495" max="9495" width="6.5703125" style="30" customWidth="1"/>
    <col min="9496" max="9496" width="6" style="30" customWidth="1"/>
    <col min="9497" max="9498" width="6.140625" style="30" customWidth="1"/>
    <col min="9499" max="9499" width="6.5703125" style="30" customWidth="1"/>
    <col min="9500" max="9500" width="6.85546875" style="30" customWidth="1"/>
    <col min="9501" max="9501" width="6" style="30" customWidth="1"/>
    <col min="9502" max="9502" width="6.140625" style="30" customWidth="1"/>
    <col min="9503" max="9503" width="6.42578125" style="30" customWidth="1"/>
    <col min="9504" max="9504" width="5.85546875" style="30" customWidth="1"/>
    <col min="9505" max="9506" width="6.140625" style="30" customWidth="1"/>
    <col min="9507" max="9507" width="6.5703125" style="30" customWidth="1"/>
    <col min="9508" max="9508" width="6.140625" style="30" customWidth="1"/>
    <col min="9509" max="9509" width="5.85546875" style="30" customWidth="1"/>
    <col min="9510" max="9510" width="6.42578125" style="30" customWidth="1"/>
    <col min="9511" max="9511" width="0" style="30" hidden="1" customWidth="1"/>
    <col min="9512" max="9728" width="9.140625" style="30"/>
    <col min="9729" max="9729" width="4" style="30" customWidth="1"/>
    <col min="9730" max="9730" width="35.7109375" style="30" customWidth="1"/>
    <col min="9731" max="9732" width="6.85546875" style="30" customWidth="1"/>
    <col min="9733" max="9733" width="5.42578125" style="30" customWidth="1"/>
    <col min="9734" max="9734" width="5.85546875" style="30" customWidth="1"/>
    <col min="9735" max="9735" width="6.85546875" style="30" customWidth="1"/>
    <col min="9736" max="9736" width="6.7109375" style="30" customWidth="1"/>
    <col min="9737" max="9737" width="5.140625" style="30" customWidth="1"/>
    <col min="9738" max="9738" width="4.85546875" style="30" customWidth="1"/>
    <col min="9739" max="9739" width="6.5703125" style="30" customWidth="1"/>
    <col min="9740" max="9740" width="6.28515625" style="30" customWidth="1"/>
    <col min="9741" max="9741" width="5.140625" style="30" customWidth="1"/>
    <col min="9742" max="9742" width="5.85546875" style="30" customWidth="1"/>
    <col min="9743" max="9743" width="6" style="30" customWidth="1"/>
    <col min="9744" max="9744" width="6.28515625" style="30" customWidth="1"/>
    <col min="9745" max="9745" width="5.140625" style="30" customWidth="1"/>
    <col min="9746" max="9746" width="5.42578125" style="30" customWidth="1"/>
    <col min="9747" max="9750" width="0" style="30" hidden="1" customWidth="1"/>
    <col min="9751" max="9751" width="6.5703125" style="30" customWidth="1"/>
    <col min="9752" max="9752" width="6" style="30" customWidth="1"/>
    <col min="9753" max="9754" width="6.140625" style="30" customWidth="1"/>
    <col min="9755" max="9755" width="6.5703125" style="30" customWidth="1"/>
    <col min="9756" max="9756" width="6.85546875" style="30" customWidth="1"/>
    <col min="9757" max="9757" width="6" style="30" customWidth="1"/>
    <col min="9758" max="9758" width="6.140625" style="30" customWidth="1"/>
    <col min="9759" max="9759" width="6.42578125" style="30" customWidth="1"/>
    <col min="9760" max="9760" width="5.85546875" style="30" customWidth="1"/>
    <col min="9761" max="9762" width="6.140625" style="30" customWidth="1"/>
    <col min="9763" max="9763" width="6.5703125" style="30" customWidth="1"/>
    <col min="9764" max="9764" width="6.140625" style="30" customWidth="1"/>
    <col min="9765" max="9765" width="5.85546875" style="30" customWidth="1"/>
    <col min="9766" max="9766" width="6.42578125" style="30" customWidth="1"/>
    <col min="9767" max="9767" width="0" style="30" hidden="1" customWidth="1"/>
    <col min="9768" max="9984" width="9.140625" style="30"/>
    <col min="9985" max="9985" width="4" style="30" customWidth="1"/>
    <col min="9986" max="9986" width="35.7109375" style="30" customWidth="1"/>
    <col min="9987" max="9988" width="6.85546875" style="30" customWidth="1"/>
    <col min="9989" max="9989" width="5.42578125" style="30" customWidth="1"/>
    <col min="9990" max="9990" width="5.85546875" style="30" customWidth="1"/>
    <col min="9991" max="9991" width="6.85546875" style="30" customWidth="1"/>
    <col min="9992" max="9992" width="6.7109375" style="30" customWidth="1"/>
    <col min="9993" max="9993" width="5.140625" style="30" customWidth="1"/>
    <col min="9994" max="9994" width="4.85546875" style="30" customWidth="1"/>
    <col min="9995" max="9995" width="6.5703125" style="30" customWidth="1"/>
    <col min="9996" max="9996" width="6.28515625" style="30" customWidth="1"/>
    <col min="9997" max="9997" width="5.140625" style="30" customWidth="1"/>
    <col min="9998" max="9998" width="5.85546875" style="30" customWidth="1"/>
    <col min="9999" max="9999" width="6" style="30" customWidth="1"/>
    <col min="10000" max="10000" width="6.28515625" style="30" customWidth="1"/>
    <col min="10001" max="10001" width="5.140625" style="30" customWidth="1"/>
    <col min="10002" max="10002" width="5.42578125" style="30" customWidth="1"/>
    <col min="10003" max="10006" width="0" style="30" hidden="1" customWidth="1"/>
    <col min="10007" max="10007" width="6.5703125" style="30" customWidth="1"/>
    <col min="10008" max="10008" width="6" style="30" customWidth="1"/>
    <col min="10009" max="10010" width="6.140625" style="30" customWidth="1"/>
    <col min="10011" max="10011" width="6.5703125" style="30" customWidth="1"/>
    <col min="10012" max="10012" width="6.85546875" style="30" customWidth="1"/>
    <col min="10013" max="10013" width="6" style="30" customWidth="1"/>
    <col min="10014" max="10014" width="6.140625" style="30" customWidth="1"/>
    <col min="10015" max="10015" width="6.42578125" style="30" customWidth="1"/>
    <col min="10016" max="10016" width="5.85546875" style="30" customWidth="1"/>
    <col min="10017" max="10018" width="6.140625" style="30" customWidth="1"/>
    <col min="10019" max="10019" width="6.5703125" style="30" customWidth="1"/>
    <col min="10020" max="10020" width="6.140625" style="30" customWidth="1"/>
    <col min="10021" max="10021" width="5.85546875" style="30" customWidth="1"/>
    <col min="10022" max="10022" width="6.42578125" style="30" customWidth="1"/>
    <col min="10023" max="10023" width="0" style="30" hidden="1" customWidth="1"/>
    <col min="10024" max="10240" width="9.140625" style="30"/>
    <col min="10241" max="10241" width="4" style="30" customWidth="1"/>
    <col min="10242" max="10242" width="35.7109375" style="30" customWidth="1"/>
    <col min="10243" max="10244" width="6.85546875" style="30" customWidth="1"/>
    <col min="10245" max="10245" width="5.42578125" style="30" customWidth="1"/>
    <col min="10246" max="10246" width="5.85546875" style="30" customWidth="1"/>
    <col min="10247" max="10247" width="6.85546875" style="30" customWidth="1"/>
    <col min="10248" max="10248" width="6.7109375" style="30" customWidth="1"/>
    <col min="10249" max="10249" width="5.140625" style="30" customWidth="1"/>
    <col min="10250" max="10250" width="4.85546875" style="30" customWidth="1"/>
    <col min="10251" max="10251" width="6.5703125" style="30" customWidth="1"/>
    <col min="10252" max="10252" width="6.28515625" style="30" customWidth="1"/>
    <col min="10253" max="10253" width="5.140625" style="30" customWidth="1"/>
    <col min="10254" max="10254" width="5.85546875" style="30" customWidth="1"/>
    <col min="10255" max="10255" width="6" style="30" customWidth="1"/>
    <col min="10256" max="10256" width="6.28515625" style="30" customWidth="1"/>
    <col min="10257" max="10257" width="5.140625" style="30" customWidth="1"/>
    <col min="10258" max="10258" width="5.42578125" style="30" customWidth="1"/>
    <col min="10259" max="10262" width="0" style="30" hidden="1" customWidth="1"/>
    <col min="10263" max="10263" width="6.5703125" style="30" customWidth="1"/>
    <col min="10264" max="10264" width="6" style="30" customWidth="1"/>
    <col min="10265" max="10266" width="6.140625" style="30" customWidth="1"/>
    <col min="10267" max="10267" width="6.5703125" style="30" customWidth="1"/>
    <col min="10268" max="10268" width="6.85546875" style="30" customWidth="1"/>
    <col min="10269" max="10269" width="6" style="30" customWidth="1"/>
    <col min="10270" max="10270" width="6.140625" style="30" customWidth="1"/>
    <col min="10271" max="10271" width="6.42578125" style="30" customWidth="1"/>
    <col min="10272" max="10272" width="5.85546875" style="30" customWidth="1"/>
    <col min="10273" max="10274" width="6.140625" style="30" customWidth="1"/>
    <col min="10275" max="10275" width="6.5703125" style="30" customWidth="1"/>
    <col min="10276" max="10276" width="6.140625" style="30" customWidth="1"/>
    <col min="10277" max="10277" width="5.85546875" style="30" customWidth="1"/>
    <col min="10278" max="10278" width="6.42578125" style="30" customWidth="1"/>
    <col min="10279" max="10279" width="0" style="30" hidden="1" customWidth="1"/>
    <col min="10280" max="10496" width="9.140625" style="30"/>
    <col min="10497" max="10497" width="4" style="30" customWidth="1"/>
    <col min="10498" max="10498" width="35.7109375" style="30" customWidth="1"/>
    <col min="10499" max="10500" width="6.85546875" style="30" customWidth="1"/>
    <col min="10501" max="10501" width="5.42578125" style="30" customWidth="1"/>
    <col min="10502" max="10502" width="5.85546875" style="30" customWidth="1"/>
    <col min="10503" max="10503" width="6.85546875" style="30" customWidth="1"/>
    <col min="10504" max="10504" width="6.7109375" style="30" customWidth="1"/>
    <col min="10505" max="10505" width="5.140625" style="30" customWidth="1"/>
    <col min="10506" max="10506" width="4.85546875" style="30" customWidth="1"/>
    <col min="10507" max="10507" width="6.5703125" style="30" customWidth="1"/>
    <col min="10508" max="10508" width="6.28515625" style="30" customWidth="1"/>
    <col min="10509" max="10509" width="5.140625" style="30" customWidth="1"/>
    <col min="10510" max="10510" width="5.85546875" style="30" customWidth="1"/>
    <col min="10511" max="10511" width="6" style="30" customWidth="1"/>
    <col min="10512" max="10512" width="6.28515625" style="30" customWidth="1"/>
    <col min="10513" max="10513" width="5.140625" style="30" customWidth="1"/>
    <col min="10514" max="10514" width="5.42578125" style="30" customWidth="1"/>
    <col min="10515" max="10518" width="0" style="30" hidden="1" customWidth="1"/>
    <col min="10519" max="10519" width="6.5703125" style="30" customWidth="1"/>
    <col min="10520" max="10520" width="6" style="30" customWidth="1"/>
    <col min="10521" max="10522" width="6.140625" style="30" customWidth="1"/>
    <col min="10523" max="10523" width="6.5703125" style="30" customWidth="1"/>
    <col min="10524" max="10524" width="6.85546875" style="30" customWidth="1"/>
    <col min="10525" max="10525" width="6" style="30" customWidth="1"/>
    <col min="10526" max="10526" width="6.140625" style="30" customWidth="1"/>
    <col min="10527" max="10527" width="6.42578125" style="30" customWidth="1"/>
    <col min="10528" max="10528" width="5.85546875" style="30" customWidth="1"/>
    <col min="10529" max="10530" width="6.140625" style="30" customWidth="1"/>
    <col min="10531" max="10531" width="6.5703125" style="30" customWidth="1"/>
    <col min="10532" max="10532" width="6.140625" style="30" customWidth="1"/>
    <col min="10533" max="10533" width="5.85546875" style="30" customWidth="1"/>
    <col min="10534" max="10534" width="6.42578125" style="30" customWidth="1"/>
    <col min="10535" max="10535" width="0" style="30" hidden="1" customWidth="1"/>
    <col min="10536" max="10752" width="9.140625" style="30"/>
    <col min="10753" max="10753" width="4" style="30" customWidth="1"/>
    <col min="10754" max="10754" width="35.7109375" style="30" customWidth="1"/>
    <col min="10755" max="10756" width="6.85546875" style="30" customWidth="1"/>
    <col min="10757" max="10757" width="5.42578125" style="30" customWidth="1"/>
    <col min="10758" max="10758" width="5.85546875" style="30" customWidth="1"/>
    <col min="10759" max="10759" width="6.85546875" style="30" customWidth="1"/>
    <col min="10760" max="10760" width="6.7109375" style="30" customWidth="1"/>
    <col min="10761" max="10761" width="5.140625" style="30" customWidth="1"/>
    <col min="10762" max="10762" width="4.85546875" style="30" customWidth="1"/>
    <col min="10763" max="10763" width="6.5703125" style="30" customWidth="1"/>
    <col min="10764" max="10764" width="6.28515625" style="30" customWidth="1"/>
    <col min="10765" max="10765" width="5.140625" style="30" customWidth="1"/>
    <col min="10766" max="10766" width="5.85546875" style="30" customWidth="1"/>
    <col min="10767" max="10767" width="6" style="30" customWidth="1"/>
    <col min="10768" max="10768" width="6.28515625" style="30" customWidth="1"/>
    <col min="10769" max="10769" width="5.140625" style="30" customWidth="1"/>
    <col min="10770" max="10770" width="5.42578125" style="30" customWidth="1"/>
    <col min="10771" max="10774" width="0" style="30" hidden="1" customWidth="1"/>
    <col min="10775" max="10775" width="6.5703125" style="30" customWidth="1"/>
    <col min="10776" max="10776" width="6" style="30" customWidth="1"/>
    <col min="10777" max="10778" width="6.140625" style="30" customWidth="1"/>
    <col min="10779" max="10779" width="6.5703125" style="30" customWidth="1"/>
    <col min="10780" max="10780" width="6.85546875" style="30" customWidth="1"/>
    <col min="10781" max="10781" width="6" style="30" customWidth="1"/>
    <col min="10782" max="10782" width="6.140625" style="30" customWidth="1"/>
    <col min="10783" max="10783" width="6.42578125" style="30" customWidth="1"/>
    <col min="10784" max="10784" width="5.85546875" style="30" customWidth="1"/>
    <col min="10785" max="10786" width="6.140625" style="30" customWidth="1"/>
    <col min="10787" max="10787" width="6.5703125" style="30" customWidth="1"/>
    <col min="10788" max="10788" width="6.140625" style="30" customWidth="1"/>
    <col min="10789" max="10789" width="5.85546875" style="30" customWidth="1"/>
    <col min="10790" max="10790" width="6.42578125" style="30" customWidth="1"/>
    <col min="10791" max="10791" width="0" style="30" hidden="1" customWidth="1"/>
    <col min="10792" max="11008" width="9.140625" style="30"/>
    <col min="11009" max="11009" width="4" style="30" customWidth="1"/>
    <col min="11010" max="11010" width="35.7109375" style="30" customWidth="1"/>
    <col min="11011" max="11012" width="6.85546875" style="30" customWidth="1"/>
    <col min="11013" max="11013" width="5.42578125" style="30" customWidth="1"/>
    <col min="11014" max="11014" width="5.85546875" style="30" customWidth="1"/>
    <col min="11015" max="11015" width="6.85546875" style="30" customWidth="1"/>
    <col min="11016" max="11016" width="6.7109375" style="30" customWidth="1"/>
    <col min="11017" max="11017" width="5.140625" style="30" customWidth="1"/>
    <col min="11018" max="11018" width="4.85546875" style="30" customWidth="1"/>
    <col min="11019" max="11019" width="6.5703125" style="30" customWidth="1"/>
    <col min="11020" max="11020" width="6.28515625" style="30" customWidth="1"/>
    <col min="11021" max="11021" width="5.140625" style="30" customWidth="1"/>
    <col min="11022" max="11022" width="5.85546875" style="30" customWidth="1"/>
    <col min="11023" max="11023" width="6" style="30" customWidth="1"/>
    <col min="11024" max="11024" width="6.28515625" style="30" customWidth="1"/>
    <col min="11025" max="11025" width="5.140625" style="30" customWidth="1"/>
    <col min="11026" max="11026" width="5.42578125" style="30" customWidth="1"/>
    <col min="11027" max="11030" width="0" style="30" hidden="1" customWidth="1"/>
    <col min="11031" max="11031" width="6.5703125" style="30" customWidth="1"/>
    <col min="11032" max="11032" width="6" style="30" customWidth="1"/>
    <col min="11033" max="11034" width="6.140625" style="30" customWidth="1"/>
    <col min="11035" max="11035" width="6.5703125" style="30" customWidth="1"/>
    <col min="11036" max="11036" width="6.85546875" style="30" customWidth="1"/>
    <col min="11037" max="11037" width="6" style="30" customWidth="1"/>
    <col min="11038" max="11038" width="6.140625" style="30" customWidth="1"/>
    <col min="11039" max="11039" width="6.42578125" style="30" customWidth="1"/>
    <col min="11040" max="11040" width="5.85546875" style="30" customWidth="1"/>
    <col min="11041" max="11042" width="6.140625" style="30" customWidth="1"/>
    <col min="11043" max="11043" width="6.5703125" style="30" customWidth="1"/>
    <col min="11044" max="11044" width="6.140625" style="30" customWidth="1"/>
    <col min="11045" max="11045" width="5.85546875" style="30" customWidth="1"/>
    <col min="11046" max="11046" width="6.42578125" style="30" customWidth="1"/>
    <col min="11047" max="11047" width="0" style="30" hidden="1" customWidth="1"/>
    <col min="11048" max="11264" width="9.140625" style="30"/>
    <col min="11265" max="11265" width="4" style="30" customWidth="1"/>
    <col min="11266" max="11266" width="35.7109375" style="30" customWidth="1"/>
    <col min="11267" max="11268" width="6.85546875" style="30" customWidth="1"/>
    <col min="11269" max="11269" width="5.42578125" style="30" customWidth="1"/>
    <col min="11270" max="11270" width="5.85546875" style="30" customWidth="1"/>
    <col min="11271" max="11271" width="6.85546875" style="30" customWidth="1"/>
    <col min="11272" max="11272" width="6.7109375" style="30" customWidth="1"/>
    <col min="11273" max="11273" width="5.140625" style="30" customWidth="1"/>
    <col min="11274" max="11274" width="4.85546875" style="30" customWidth="1"/>
    <col min="11275" max="11275" width="6.5703125" style="30" customWidth="1"/>
    <col min="11276" max="11276" width="6.28515625" style="30" customWidth="1"/>
    <col min="11277" max="11277" width="5.140625" style="30" customWidth="1"/>
    <col min="11278" max="11278" width="5.85546875" style="30" customWidth="1"/>
    <col min="11279" max="11279" width="6" style="30" customWidth="1"/>
    <col min="11280" max="11280" width="6.28515625" style="30" customWidth="1"/>
    <col min="11281" max="11281" width="5.140625" style="30" customWidth="1"/>
    <col min="11282" max="11282" width="5.42578125" style="30" customWidth="1"/>
    <col min="11283" max="11286" width="0" style="30" hidden="1" customWidth="1"/>
    <col min="11287" max="11287" width="6.5703125" style="30" customWidth="1"/>
    <col min="11288" max="11288" width="6" style="30" customWidth="1"/>
    <col min="11289" max="11290" width="6.140625" style="30" customWidth="1"/>
    <col min="11291" max="11291" width="6.5703125" style="30" customWidth="1"/>
    <col min="11292" max="11292" width="6.85546875" style="30" customWidth="1"/>
    <col min="11293" max="11293" width="6" style="30" customWidth="1"/>
    <col min="11294" max="11294" width="6.140625" style="30" customWidth="1"/>
    <col min="11295" max="11295" width="6.42578125" style="30" customWidth="1"/>
    <col min="11296" max="11296" width="5.85546875" style="30" customWidth="1"/>
    <col min="11297" max="11298" width="6.140625" style="30" customWidth="1"/>
    <col min="11299" max="11299" width="6.5703125" style="30" customWidth="1"/>
    <col min="11300" max="11300" width="6.140625" style="30" customWidth="1"/>
    <col min="11301" max="11301" width="5.85546875" style="30" customWidth="1"/>
    <col min="11302" max="11302" width="6.42578125" style="30" customWidth="1"/>
    <col min="11303" max="11303" width="0" style="30" hidden="1" customWidth="1"/>
    <col min="11304" max="11520" width="9.140625" style="30"/>
    <col min="11521" max="11521" width="4" style="30" customWidth="1"/>
    <col min="11522" max="11522" width="35.7109375" style="30" customWidth="1"/>
    <col min="11523" max="11524" width="6.85546875" style="30" customWidth="1"/>
    <col min="11525" max="11525" width="5.42578125" style="30" customWidth="1"/>
    <col min="11526" max="11526" width="5.85546875" style="30" customWidth="1"/>
    <col min="11527" max="11527" width="6.85546875" style="30" customWidth="1"/>
    <col min="11528" max="11528" width="6.7109375" style="30" customWidth="1"/>
    <col min="11529" max="11529" width="5.140625" style="30" customWidth="1"/>
    <col min="11530" max="11530" width="4.85546875" style="30" customWidth="1"/>
    <col min="11531" max="11531" width="6.5703125" style="30" customWidth="1"/>
    <col min="11532" max="11532" width="6.28515625" style="30" customWidth="1"/>
    <col min="11533" max="11533" width="5.140625" style="30" customWidth="1"/>
    <col min="11534" max="11534" width="5.85546875" style="30" customWidth="1"/>
    <col min="11535" max="11535" width="6" style="30" customWidth="1"/>
    <col min="11536" max="11536" width="6.28515625" style="30" customWidth="1"/>
    <col min="11537" max="11537" width="5.140625" style="30" customWidth="1"/>
    <col min="11538" max="11538" width="5.42578125" style="30" customWidth="1"/>
    <col min="11539" max="11542" width="0" style="30" hidden="1" customWidth="1"/>
    <col min="11543" max="11543" width="6.5703125" style="30" customWidth="1"/>
    <col min="11544" max="11544" width="6" style="30" customWidth="1"/>
    <col min="11545" max="11546" width="6.140625" style="30" customWidth="1"/>
    <col min="11547" max="11547" width="6.5703125" style="30" customWidth="1"/>
    <col min="11548" max="11548" width="6.85546875" style="30" customWidth="1"/>
    <col min="11549" max="11549" width="6" style="30" customWidth="1"/>
    <col min="11550" max="11550" width="6.140625" style="30" customWidth="1"/>
    <col min="11551" max="11551" width="6.42578125" style="30" customWidth="1"/>
    <col min="11552" max="11552" width="5.85546875" style="30" customWidth="1"/>
    <col min="11553" max="11554" width="6.140625" style="30" customWidth="1"/>
    <col min="11555" max="11555" width="6.5703125" style="30" customWidth="1"/>
    <col min="11556" max="11556" width="6.140625" style="30" customWidth="1"/>
    <col min="11557" max="11557" width="5.85546875" style="30" customWidth="1"/>
    <col min="11558" max="11558" width="6.42578125" style="30" customWidth="1"/>
    <col min="11559" max="11559" width="0" style="30" hidden="1" customWidth="1"/>
    <col min="11560" max="11776" width="9.140625" style="30"/>
    <col min="11777" max="11777" width="4" style="30" customWidth="1"/>
    <col min="11778" max="11778" width="35.7109375" style="30" customWidth="1"/>
    <col min="11779" max="11780" width="6.85546875" style="30" customWidth="1"/>
    <col min="11781" max="11781" width="5.42578125" style="30" customWidth="1"/>
    <col min="11782" max="11782" width="5.85546875" style="30" customWidth="1"/>
    <col min="11783" max="11783" width="6.85546875" style="30" customWidth="1"/>
    <col min="11784" max="11784" width="6.7109375" style="30" customWidth="1"/>
    <col min="11785" max="11785" width="5.140625" style="30" customWidth="1"/>
    <col min="11786" max="11786" width="4.85546875" style="30" customWidth="1"/>
    <col min="11787" max="11787" width="6.5703125" style="30" customWidth="1"/>
    <col min="11788" max="11788" width="6.28515625" style="30" customWidth="1"/>
    <col min="11789" max="11789" width="5.140625" style="30" customWidth="1"/>
    <col min="11790" max="11790" width="5.85546875" style="30" customWidth="1"/>
    <col min="11791" max="11791" width="6" style="30" customWidth="1"/>
    <col min="11792" max="11792" width="6.28515625" style="30" customWidth="1"/>
    <col min="11793" max="11793" width="5.140625" style="30" customWidth="1"/>
    <col min="11794" max="11794" width="5.42578125" style="30" customWidth="1"/>
    <col min="11795" max="11798" width="0" style="30" hidden="1" customWidth="1"/>
    <col min="11799" max="11799" width="6.5703125" style="30" customWidth="1"/>
    <col min="11800" max="11800" width="6" style="30" customWidth="1"/>
    <col min="11801" max="11802" width="6.140625" style="30" customWidth="1"/>
    <col min="11803" max="11803" width="6.5703125" style="30" customWidth="1"/>
    <col min="11804" max="11804" width="6.85546875" style="30" customWidth="1"/>
    <col min="11805" max="11805" width="6" style="30" customWidth="1"/>
    <col min="11806" max="11806" width="6.140625" style="30" customWidth="1"/>
    <col min="11807" max="11807" width="6.42578125" style="30" customWidth="1"/>
    <col min="11808" max="11808" width="5.85546875" style="30" customWidth="1"/>
    <col min="11809" max="11810" width="6.140625" style="30" customWidth="1"/>
    <col min="11811" max="11811" width="6.5703125" style="30" customWidth="1"/>
    <col min="11812" max="11812" width="6.140625" style="30" customWidth="1"/>
    <col min="11813" max="11813" width="5.85546875" style="30" customWidth="1"/>
    <col min="11814" max="11814" width="6.42578125" style="30" customWidth="1"/>
    <col min="11815" max="11815" width="0" style="30" hidden="1" customWidth="1"/>
    <col min="11816" max="12032" width="9.140625" style="30"/>
    <col min="12033" max="12033" width="4" style="30" customWidth="1"/>
    <col min="12034" max="12034" width="35.7109375" style="30" customWidth="1"/>
    <col min="12035" max="12036" width="6.85546875" style="30" customWidth="1"/>
    <col min="12037" max="12037" width="5.42578125" style="30" customWidth="1"/>
    <col min="12038" max="12038" width="5.85546875" style="30" customWidth="1"/>
    <col min="12039" max="12039" width="6.85546875" style="30" customWidth="1"/>
    <col min="12040" max="12040" width="6.7109375" style="30" customWidth="1"/>
    <col min="12041" max="12041" width="5.140625" style="30" customWidth="1"/>
    <col min="12042" max="12042" width="4.85546875" style="30" customWidth="1"/>
    <col min="12043" max="12043" width="6.5703125" style="30" customWidth="1"/>
    <col min="12044" max="12044" width="6.28515625" style="30" customWidth="1"/>
    <col min="12045" max="12045" width="5.140625" style="30" customWidth="1"/>
    <col min="12046" max="12046" width="5.85546875" style="30" customWidth="1"/>
    <col min="12047" max="12047" width="6" style="30" customWidth="1"/>
    <col min="12048" max="12048" width="6.28515625" style="30" customWidth="1"/>
    <col min="12049" max="12049" width="5.140625" style="30" customWidth="1"/>
    <col min="12050" max="12050" width="5.42578125" style="30" customWidth="1"/>
    <col min="12051" max="12054" width="0" style="30" hidden="1" customWidth="1"/>
    <col min="12055" max="12055" width="6.5703125" style="30" customWidth="1"/>
    <col min="12056" max="12056" width="6" style="30" customWidth="1"/>
    <col min="12057" max="12058" width="6.140625" style="30" customWidth="1"/>
    <col min="12059" max="12059" width="6.5703125" style="30" customWidth="1"/>
    <col min="12060" max="12060" width="6.85546875" style="30" customWidth="1"/>
    <col min="12061" max="12061" width="6" style="30" customWidth="1"/>
    <col min="12062" max="12062" width="6.140625" style="30" customWidth="1"/>
    <col min="12063" max="12063" width="6.42578125" style="30" customWidth="1"/>
    <col min="12064" max="12064" width="5.85546875" style="30" customWidth="1"/>
    <col min="12065" max="12066" width="6.140625" style="30" customWidth="1"/>
    <col min="12067" max="12067" width="6.5703125" style="30" customWidth="1"/>
    <col min="12068" max="12068" width="6.140625" style="30" customWidth="1"/>
    <col min="12069" max="12069" width="5.85546875" style="30" customWidth="1"/>
    <col min="12070" max="12070" width="6.42578125" style="30" customWidth="1"/>
    <col min="12071" max="12071" width="0" style="30" hidden="1" customWidth="1"/>
    <col min="12072" max="12288" width="9.140625" style="30"/>
    <col min="12289" max="12289" width="4" style="30" customWidth="1"/>
    <col min="12290" max="12290" width="35.7109375" style="30" customWidth="1"/>
    <col min="12291" max="12292" width="6.85546875" style="30" customWidth="1"/>
    <col min="12293" max="12293" width="5.42578125" style="30" customWidth="1"/>
    <col min="12294" max="12294" width="5.85546875" style="30" customWidth="1"/>
    <col min="12295" max="12295" width="6.85546875" style="30" customWidth="1"/>
    <col min="12296" max="12296" width="6.7109375" style="30" customWidth="1"/>
    <col min="12297" max="12297" width="5.140625" style="30" customWidth="1"/>
    <col min="12298" max="12298" width="4.85546875" style="30" customWidth="1"/>
    <col min="12299" max="12299" width="6.5703125" style="30" customWidth="1"/>
    <col min="12300" max="12300" width="6.28515625" style="30" customWidth="1"/>
    <col min="12301" max="12301" width="5.140625" style="30" customWidth="1"/>
    <col min="12302" max="12302" width="5.85546875" style="30" customWidth="1"/>
    <col min="12303" max="12303" width="6" style="30" customWidth="1"/>
    <col min="12304" max="12304" width="6.28515625" style="30" customWidth="1"/>
    <col min="12305" max="12305" width="5.140625" style="30" customWidth="1"/>
    <col min="12306" max="12306" width="5.42578125" style="30" customWidth="1"/>
    <col min="12307" max="12310" width="0" style="30" hidden="1" customWidth="1"/>
    <col min="12311" max="12311" width="6.5703125" style="30" customWidth="1"/>
    <col min="12312" max="12312" width="6" style="30" customWidth="1"/>
    <col min="12313" max="12314" width="6.140625" style="30" customWidth="1"/>
    <col min="12315" max="12315" width="6.5703125" style="30" customWidth="1"/>
    <col min="12316" max="12316" width="6.85546875" style="30" customWidth="1"/>
    <col min="12317" max="12317" width="6" style="30" customWidth="1"/>
    <col min="12318" max="12318" width="6.140625" style="30" customWidth="1"/>
    <col min="12319" max="12319" width="6.42578125" style="30" customWidth="1"/>
    <col min="12320" max="12320" width="5.85546875" style="30" customWidth="1"/>
    <col min="12321" max="12322" width="6.140625" style="30" customWidth="1"/>
    <col min="12323" max="12323" width="6.5703125" style="30" customWidth="1"/>
    <col min="12324" max="12324" width="6.140625" style="30" customWidth="1"/>
    <col min="12325" max="12325" width="5.85546875" style="30" customWidth="1"/>
    <col min="12326" max="12326" width="6.42578125" style="30" customWidth="1"/>
    <col min="12327" max="12327" width="0" style="30" hidden="1" customWidth="1"/>
    <col min="12328" max="12544" width="9.140625" style="30"/>
    <col min="12545" max="12545" width="4" style="30" customWidth="1"/>
    <col min="12546" max="12546" width="35.7109375" style="30" customWidth="1"/>
    <col min="12547" max="12548" width="6.85546875" style="30" customWidth="1"/>
    <col min="12549" max="12549" width="5.42578125" style="30" customWidth="1"/>
    <col min="12550" max="12550" width="5.85546875" style="30" customWidth="1"/>
    <col min="12551" max="12551" width="6.85546875" style="30" customWidth="1"/>
    <col min="12552" max="12552" width="6.7109375" style="30" customWidth="1"/>
    <col min="12553" max="12553" width="5.140625" style="30" customWidth="1"/>
    <col min="12554" max="12554" width="4.85546875" style="30" customWidth="1"/>
    <col min="12555" max="12555" width="6.5703125" style="30" customWidth="1"/>
    <col min="12556" max="12556" width="6.28515625" style="30" customWidth="1"/>
    <col min="12557" max="12557" width="5.140625" style="30" customWidth="1"/>
    <col min="12558" max="12558" width="5.85546875" style="30" customWidth="1"/>
    <col min="12559" max="12559" width="6" style="30" customWidth="1"/>
    <col min="12560" max="12560" width="6.28515625" style="30" customWidth="1"/>
    <col min="12561" max="12561" width="5.140625" style="30" customWidth="1"/>
    <col min="12562" max="12562" width="5.42578125" style="30" customWidth="1"/>
    <col min="12563" max="12566" width="0" style="30" hidden="1" customWidth="1"/>
    <col min="12567" max="12567" width="6.5703125" style="30" customWidth="1"/>
    <col min="12568" max="12568" width="6" style="30" customWidth="1"/>
    <col min="12569" max="12570" width="6.140625" style="30" customWidth="1"/>
    <col min="12571" max="12571" width="6.5703125" style="30" customWidth="1"/>
    <col min="12572" max="12572" width="6.85546875" style="30" customWidth="1"/>
    <col min="12573" max="12573" width="6" style="30" customWidth="1"/>
    <col min="12574" max="12574" width="6.140625" style="30" customWidth="1"/>
    <col min="12575" max="12575" width="6.42578125" style="30" customWidth="1"/>
    <col min="12576" max="12576" width="5.85546875" style="30" customWidth="1"/>
    <col min="12577" max="12578" width="6.140625" style="30" customWidth="1"/>
    <col min="12579" max="12579" width="6.5703125" style="30" customWidth="1"/>
    <col min="12580" max="12580" width="6.140625" style="30" customWidth="1"/>
    <col min="12581" max="12581" width="5.85546875" style="30" customWidth="1"/>
    <col min="12582" max="12582" width="6.42578125" style="30" customWidth="1"/>
    <col min="12583" max="12583" width="0" style="30" hidden="1" customWidth="1"/>
    <col min="12584" max="12800" width="9.140625" style="30"/>
    <col min="12801" max="12801" width="4" style="30" customWidth="1"/>
    <col min="12802" max="12802" width="35.7109375" style="30" customWidth="1"/>
    <col min="12803" max="12804" width="6.85546875" style="30" customWidth="1"/>
    <col min="12805" max="12805" width="5.42578125" style="30" customWidth="1"/>
    <col min="12806" max="12806" width="5.85546875" style="30" customWidth="1"/>
    <col min="12807" max="12807" width="6.85546875" style="30" customWidth="1"/>
    <col min="12808" max="12808" width="6.7109375" style="30" customWidth="1"/>
    <col min="12809" max="12809" width="5.140625" style="30" customWidth="1"/>
    <col min="12810" max="12810" width="4.85546875" style="30" customWidth="1"/>
    <col min="12811" max="12811" width="6.5703125" style="30" customWidth="1"/>
    <col min="12812" max="12812" width="6.28515625" style="30" customWidth="1"/>
    <col min="12813" max="12813" width="5.140625" style="30" customWidth="1"/>
    <col min="12814" max="12814" width="5.85546875" style="30" customWidth="1"/>
    <col min="12815" max="12815" width="6" style="30" customWidth="1"/>
    <col min="12816" max="12816" width="6.28515625" style="30" customWidth="1"/>
    <col min="12817" max="12817" width="5.140625" style="30" customWidth="1"/>
    <col min="12818" max="12818" width="5.42578125" style="30" customWidth="1"/>
    <col min="12819" max="12822" width="0" style="30" hidden="1" customWidth="1"/>
    <col min="12823" max="12823" width="6.5703125" style="30" customWidth="1"/>
    <col min="12824" max="12824" width="6" style="30" customWidth="1"/>
    <col min="12825" max="12826" width="6.140625" style="30" customWidth="1"/>
    <col min="12827" max="12827" width="6.5703125" style="30" customWidth="1"/>
    <col min="12828" max="12828" width="6.85546875" style="30" customWidth="1"/>
    <col min="12829" max="12829" width="6" style="30" customWidth="1"/>
    <col min="12830" max="12830" width="6.140625" style="30" customWidth="1"/>
    <col min="12831" max="12831" width="6.42578125" style="30" customWidth="1"/>
    <col min="12832" max="12832" width="5.85546875" style="30" customWidth="1"/>
    <col min="12833" max="12834" width="6.140625" style="30" customWidth="1"/>
    <col min="12835" max="12835" width="6.5703125" style="30" customWidth="1"/>
    <col min="12836" max="12836" width="6.140625" style="30" customWidth="1"/>
    <col min="12837" max="12837" width="5.85546875" style="30" customWidth="1"/>
    <col min="12838" max="12838" width="6.42578125" style="30" customWidth="1"/>
    <col min="12839" max="12839" width="0" style="30" hidden="1" customWidth="1"/>
    <col min="12840" max="13056" width="9.140625" style="30"/>
    <col min="13057" max="13057" width="4" style="30" customWidth="1"/>
    <col min="13058" max="13058" width="35.7109375" style="30" customWidth="1"/>
    <col min="13059" max="13060" width="6.85546875" style="30" customWidth="1"/>
    <col min="13061" max="13061" width="5.42578125" style="30" customWidth="1"/>
    <col min="13062" max="13062" width="5.85546875" style="30" customWidth="1"/>
    <col min="13063" max="13063" width="6.85546875" style="30" customWidth="1"/>
    <col min="13064" max="13064" width="6.7109375" style="30" customWidth="1"/>
    <col min="13065" max="13065" width="5.140625" style="30" customWidth="1"/>
    <col min="13066" max="13066" width="4.85546875" style="30" customWidth="1"/>
    <col min="13067" max="13067" width="6.5703125" style="30" customWidth="1"/>
    <col min="13068" max="13068" width="6.28515625" style="30" customWidth="1"/>
    <col min="13069" max="13069" width="5.140625" style="30" customWidth="1"/>
    <col min="13070" max="13070" width="5.85546875" style="30" customWidth="1"/>
    <col min="13071" max="13071" width="6" style="30" customWidth="1"/>
    <col min="13072" max="13072" width="6.28515625" style="30" customWidth="1"/>
    <col min="13073" max="13073" width="5.140625" style="30" customWidth="1"/>
    <col min="13074" max="13074" width="5.42578125" style="30" customWidth="1"/>
    <col min="13075" max="13078" width="0" style="30" hidden="1" customWidth="1"/>
    <col min="13079" max="13079" width="6.5703125" style="30" customWidth="1"/>
    <col min="13080" max="13080" width="6" style="30" customWidth="1"/>
    <col min="13081" max="13082" width="6.140625" style="30" customWidth="1"/>
    <col min="13083" max="13083" width="6.5703125" style="30" customWidth="1"/>
    <col min="13084" max="13084" width="6.85546875" style="30" customWidth="1"/>
    <col min="13085" max="13085" width="6" style="30" customWidth="1"/>
    <col min="13086" max="13086" width="6.140625" style="30" customWidth="1"/>
    <col min="13087" max="13087" width="6.42578125" style="30" customWidth="1"/>
    <col min="13088" max="13088" width="5.85546875" style="30" customWidth="1"/>
    <col min="13089" max="13090" width="6.140625" style="30" customWidth="1"/>
    <col min="13091" max="13091" width="6.5703125" style="30" customWidth="1"/>
    <col min="13092" max="13092" width="6.140625" style="30" customWidth="1"/>
    <col min="13093" max="13093" width="5.85546875" style="30" customWidth="1"/>
    <col min="13094" max="13094" width="6.42578125" style="30" customWidth="1"/>
    <col min="13095" max="13095" width="0" style="30" hidden="1" customWidth="1"/>
    <col min="13096" max="13312" width="9.140625" style="30"/>
    <col min="13313" max="13313" width="4" style="30" customWidth="1"/>
    <col min="13314" max="13314" width="35.7109375" style="30" customWidth="1"/>
    <col min="13315" max="13316" width="6.85546875" style="30" customWidth="1"/>
    <col min="13317" max="13317" width="5.42578125" style="30" customWidth="1"/>
    <col min="13318" max="13318" width="5.85546875" style="30" customWidth="1"/>
    <col min="13319" max="13319" width="6.85546875" style="30" customWidth="1"/>
    <col min="13320" max="13320" width="6.7109375" style="30" customWidth="1"/>
    <col min="13321" max="13321" width="5.140625" style="30" customWidth="1"/>
    <col min="13322" max="13322" width="4.85546875" style="30" customWidth="1"/>
    <col min="13323" max="13323" width="6.5703125" style="30" customWidth="1"/>
    <col min="13324" max="13324" width="6.28515625" style="30" customWidth="1"/>
    <col min="13325" max="13325" width="5.140625" style="30" customWidth="1"/>
    <col min="13326" max="13326" width="5.85546875" style="30" customWidth="1"/>
    <col min="13327" max="13327" width="6" style="30" customWidth="1"/>
    <col min="13328" max="13328" width="6.28515625" style="30" customWidth="1"/>
    <col min="13329" max="13329" width="5.140625" style="30" customWidth="1"/>
    <col min="13330" max="13330" width="5.42578125" style="30" customWidth="1"/>
    <col min="13331" max="13334" width="0" style="30" hidden="1" customWidth="1"/>
    <col min="13335" max="13335" width="6.5703125" style="30" customWidth="1"/>
    <col min="13336" max="13336" width="6" style="30" customWidth="1"/>
    <col min="13337" max="13338" width="6.140625" style="30" customWidth="1"/>
    <col min="13339" max="13339" width="6.5703125" style="30" customWidth="1"/>
    <col min="13340" max="13340" width="6.85546875" style="30" customWidth="1"/>
    <col min="13341" max="13341" width="6" style="30" customWidth="1"/>
    <col min="13342" max="13342" width="6.140625" style="30" customWidth="1"/>
    <col min="13343" max="13343" width="6.42578125" style="30" customWidth="1"/>
    <col min="13344" max="13344" width="5.85546875" style="30" customWidth="1"/>
    <col min="13345" max="13346" width="6.140625" style="30" customWidth="1"/>
    <col min="13347" max="13347" width="6.5703125" style="30" customWidth="1"/>
    <col min="13348" max="13348" width="6.140625" style="30" customWidth="1"/>
    <col min="13349" max="13349" width="5.85546875" style="30" customWidth="1"/>
    <col min="13350" max="13350" width="6.42578125" style="30" customWidth="1"/>
    <col min="13351" max="13351" width="0" style="30" hidden="1" customWidth="1"/>
    <col min="13352" max="13568" width="9.140625" style="30"/>
    <col min="13569" max="13569" width="4" style="30" customWidth="1"/>
    <col min="13570" max="13570" width="35.7109375" style="30" customWidth="1"/>
    <col min="13571" max="13572" width="6.85546875" style="30" customWidth="1"/>
    <col min="13573" max="13573" width="5.42578125" style="30" customWidth="1"/>
    <col min="13574" max="13574" width="5.85546875" style="30" customWidth="1"/>
    <col min="13575" max="13575" width="6.85546875" style="30" customWidth="1"/>
    <col min="13576" max="13576" width="6.7109375" style="30" customWidth="1"/>
    <col min="13577" max="13577" width="5.140625" style="30" customWidth="1"/>
    <col min="13578" max="13578" width="4.85546875" style="30" customWidth="1"/>
    <col min="13579" max="13579" width="6.5703125" style="30" customWidth="1"/>
    <col min="13580" max="13580" width="6.28515625" style="30" customWidth="1"/>
    <col min="13581" max="13581" width="5.140625" style="30" customWidth="1"/>
    <col min="13582" max="13582" width="5.85546875" style="30" customWidth="1"/>
    <col min="13583" max="13583" width="6" style="30" customWidth="1"/>
    <col min="13584" max="13584" width="6.28515625" style="30" customWidth="1"/>
    <col min="13585" max="13585" width="5.140625" style="30" customWidth="1"/>
    <col min="13586" max="13586" width="5.42578125" style="30" customWidth="1"/>
    <col min="13587" max="13590" width="0" style="30" hidden="1" customWidth="1"/>
    <col min="13591" max="13591" width="6.5703125" style="30" customWidth="1"/>
    <col min="13592" max="13592" width="6" style="30" customWidth="1"/>
    <col min="13593" max="13594" width="6.140625" style="30" customWidth="1"/>
    <col min="13595" max="13595" width="6.5703125" style="30" customWidth="1"/>
    <col min="13596" max="13596" width="6.85546875" style="30" customWidth="1"/>
    <col min="13597" max="13597" width="6" style="30" customWidth="1"/>
    <col min="13598" max="13598" width="6.140625" style="30" customWidth="1"/>
    <col min="13599" max="13599" width="6.42578125" style="30" customWidth="1"/>
    <col min="13600" max="13600" width="5.85546875" style="30" customWidth="1"/>
    <col min="13601" max="13602" width="6.140625" style="30" customWidth="1"/>
    <col min="13603" max="13603" width="6.5703125" style="30" customWidth="1"/>
    <col min="13604" max="13604" width="6.140625" style="30" customWidth="1"/>
    <col min="13605" max="13605" width="5.85546875" style="30" customWidth="1"/>
    <col min="13606" max="13606" width="6.42578125" style="30" customWidth="1"/>
    <col min="13607" max="13607" width="0" style="30" hidden="1" customWidth="1"/>
    <col min="13608" max="13824" width="9.140625" style="30"/>
    <col min="13825" max="13825" width="4" style="30" customWidth="1"/>
    <col min="13826" max="13826" width="35.7109375" style="30" customWidth="1"/>
    <col min="13827" max="13828" width="6.85546875" style="30" customWidth="1"/>
    <col min="13829" max="13829" width="5.42578125" style="30" customWidth="1"/>
    <col min="13830" max="13830" width="5.85546875" style="30" customWidth="1"/>
    <col min="13831" max="13831" width="6.85546875" style="30" customWidth="1"/>
    <col min="13832" max="13832" width="6.7109375" style="30" customWidth="1"/>
    <col min="13833" max="13833" width="5.140625" style="30" customWidth="1"/>
    <col min="13834" max="13834" width="4.85546875" style="30" customWidth="1"/>
    <col min="13835" max="13835" width="6.5703125" style="30" customWidth="1"/>
    <col min="13836" max="13836" width="6.28515625" style="30" customWidth="1"/>
    <col min="13837" max="13837" width="5.140625" style="30" customWidth="1"/>
    <col min="13838" max="13838" width="5.85546875" style="30" customWidth="1"/>
    <col min="13839" max="13839" width="6" style="30" customWidth="1"/>
    <col min="13840" max="13840" width="6.28515625" style="30" customWidth="1"/>
    <col min="13841" max="13841" width="5.140625" style="30" customWidth="1"/>
    <col min="13842" max="13842" width="5.42578125" style="30" customWidth="1"/>
    <col min="13843" max="13846" width="0" style="30" hidden="1" customWidth="1"/>
    <col min="13847" max="13847" width="6.5703125" style="30" customWidth="1"/>
    <col min="13848" max="13848" width="6" style="30" customWidth="1"/>
    <col min="13849" max="13850" width="6.140625" style="30" customWidth="1"/>
    <col min="13851" max="13851" width="6.5703125" style="30" customWidth="1"/>
    <col min="13852" max="13852" width="6.85546875" style="30" customWidth="1"/>
    <col min="13853" max="13853" width="6" style="30" customWidth="1"/>
    <col min="13854" max="13854" width="6.140625" style="30" customWidth="1"/>
    <col min="13855" max="13855" width="6.42578125" style="30" customWidth="1"/>
    <col min="13856" max="13856" width="5.85546875" style="30" customWidth="1"/>
    <col min="13857" max="13858" width="6.140625" style="30" customWidth="1"/>
    <col min="13859" max="13859" width="6.5703125" style="30" customWidth="1"/>
    <col min="13860" max="13860" width="6.140625" style="30" customWidth="1"/>
    <col min="13861" max="13861" width="5.85546875" style="30" customWidth="1"/>
    <col min="13862" max="13862" width="6.42578125" style="30" customWidth="1"/>
    <col min="13863" max="13863" width="0" style="30" hidden="1" customWidth="1"/>
    <col min="13864" max="14080" width="9.140625" style="30"/>
    <col min="14081" max="14081" width="4" style="30" customWidth="1"/>
    <col min="14082" max="14082" width="35.7109375" style="30" customWidth="1"/>
    <col min="14083" max="14084" width="6.85546875" style="30" customWidth="1"/>
    <col min="14085" max="14085" width="5.42578125" style="30" customWidth="1"/>
    <col min="14086" max="14086" width="5.85546875" style="30" customWidth="1"/>
    <col min="14087" max="14087" width="6.85546875" style="30" customWidth="1"/>
    <col min="14088" max="14088" width="6.7109375" style="30" customWidth="1"/>
    <col min="14089" max="14089" width="5.140625" style="30" customWidth="1"/>
    <col min="14090" max="14090" width="4.85546875" style="30" customWidth="1"/>
    <col min="14091" max="14091" width="6.5703125" style="30" customWidth="1"/>
    <col min="14092" max="14092" width="6.28515625" style="30" customWidth="1"/>
    <col min="14093" max="14093" width="5.140625" style="30" customWidth="1"/>
    <col min="14094" max="14094" width="5.85546875" style="30" customWidth="1"/>
    <col min="14095" max="14095" width="6" style="30" customWidth="1"/>
    <col min="14096" max="14096" width="6.28515625" style="30" customWidth="1"/>
    <col min="14097" max="14097" width="5.140625" style="30" customWidth="1"/>
    <col min="14098" max="14098" width="5.42578125" style="30" customWidth="1"/>
    <col min="14099" max="14102" width="0" style="30" hidden="1" customWidth="1"/>
    <col min="14103" max="14103" width="6.5703125" style="30" customWidth="1"/>
    <col min="14104" max="14104" width="6" style="30" customWidth="1"/>
    <col min="14105" max="14106" width="6.140625" style="30" customWidth="1"/>
    <col min="14107" max="14107" width="6.5703125" style="30" customWidth="1"/>
    <col min="14108" max="14108" width="6.85546875" style="30" customWidth="1"/>
    <col min="14109" max="14109" width="6" style="30" customWidth="1"/>
    <col min="14110" max="14110" width="6.140625" style="30" customWidth="1"/>
    <col min="14111" max="14111" width="6.42578125" style="30" customWidth="1"/>
    <col min="14112" max="14112" width="5.85546875" style="30" customWidth="1"/>
    <col min="14113" max="14114" width="6.140625" style="30" customWidth="1"/>
    <col min="14115" max="14115" width="6.5703125" style="30" customWidth="1"/>
    <col min="14116" max="14116" width="6.140625" style="30" customWidth="1"/>
    <col min="14117" max="14117" width="5.85546875" style="30" customWidth="1"/>
    <col min="14118" max="14118" width="6.42578125" style="30" customWidth="1"/>
    <col min="14119" max="14119" width="0" style="30" hidden="1" customWidth="1"/>
    <col min="14120" max="14336" width="9.140625" style="30"/>
    <col min="14337" max="14337" width="4" style="30" customWidth="1"/>
    <col min="14338" max="14338" width="35.7109375" style="30" customWidth="1"/>
    <col min="14339" max="14340" width="6.85546875" style="30" customWidth="1"/>
    <col min="14341" max="14341" width="5.42578125" style="30" customWidth="1"/>
    <col min="14342" max="14342" width="5.85546875" style="30" customWidth="1"/>
    <col min="14343" max="14343" width="6.85546875" style="30" customWidth="1"/>
    <col min="14344" max="14344" width="6.7109375" style="30" customWidth="1"/>
    <col min="14345" max="14345" width="5.140625" style="30" customWidth="1"/>
    <col min="14346" max="14346" width="4.85546875" style="30" customWidth="1"/>
    <col min="14347" max="14347" width="6.5703125" style="30" customWidth="1"/>
    <col min="14348" max="14348" width="6.28515625" style="30" customWidth="1"/>
    <col min="14349" max="14349" width="5.140625" style="30" customWidth="1"/>
    <col min="14350" max="14350" width="5.85546875" style="30" customWidth="1"/>
    <col min="14351" max="14351" width="6" style="30" customWidth="1"/>
    <col min="14352" max="14352" width="6.28515625" style="30" customWidth="1"/>
    <col min="14353" max="14353" width="5.140625" style="30" customWidth="1"/>
    <col min="14354" max="14354" width="5.42578125" style="30" customWidth="1"/>
    <col min="14355" max="14358" width="0" style="30" hidden="1" customWidth="1"/>
    <col min="14359" max="14359" width="6.5703125" style="30" customWidth="1"/>
    <col min="14360" max="14360" width="6" style="30" customWidth="1"/>
    <col min="14361" max="14362" width="6.140625" style="30" customWidth="1"/>
    <col min="14363" max="14363" width="6.5703125" style="30" customWidth="1"/>
    <col min="14364" max="14364" width="6.85546875" style="30" customWidth="1"/>
    <col min="14365" max="14365" width="6" style="30" customWidth="1"/>
    <col min="14366" max="14366" width="6.140625" style="30" customWidth="1"/>
    <col min="14367" max="14367" width="6.42578125" style="30" customWidth="1"/>
    <col min="14368" max="14368" width="5.85546875" style="30" customWidth="1"/>
    <col min="14369" max="14370" width="6.140625" style="30" customWidth="1"/>
    <col min="14371" max="14371" width="6.5703125" style="30" customWidth="1"/>
    <col min="14372" max="14372" width="6.140625" style="30" customWidth="1"/>
    <col min="14373" max="14373" width="5.85546875" style="30" customWidth="1"/>
    <col min="14374" max="14374" width="6.42578125" style="30" customWidth="1"/>
    <col min="14375" max="14375" width="0" style="30" hidden="1" customWidth="1"/>
    <col min="14376" max="14592" width="9.140625" style="30"/>
    <col min="14593" max="14593" width="4" style="30" customWidth="1"/>
    <col min="14594" max="14594" width="35.7109375" style="30" customWidth="1"/>
    <col min="14595" max="14596" width="6.85546875" style="30" customWidth="1"/>
    <col min="14597" max="14597" width="5.42578125" style="30" customWidth="1"/>
    <col min="14598" max="14598" width="5.85546875" style="30" customWidth="1"/>
    <col min="14599" max="14599" width="6.85546875" style="30" customWidth="1"/>
    <col min="14600" max="14600" width="6.7109375" style="30" customWidth="1"/>
    <col min="14601" max="14601" width="5.140625" style="30" customWidth="1"/>
    <col min="14602" max="14602" width="4.85546875" style="30" customWidth="1"/>
    <col min="14603" max="14603" width="6.5703125" style="30" customWidth="1"/>
    <col min="14604" max="14604" width="6.28515625" style="30" customWidth="1"/>
    <col min="14605" max="14605" width="5.140625" style="30" customWidth="1"/>
    <col min="14606" max="14606" width="5.85546875" style="30" customWidth="1"/>
    <col min="14607" max="14607" width="6" style="30" customWidth="1"/>
    <col min="14608" max="14608" width="6.28515625" style="30" customWidth="1"/>
    <col min="14609" max="14609" width="5.140625" style="30" customWidth="1"/>
    <col min="14610" max="14610" width="5.42578125" style="30" customWidth="1"/>
    <col min="14611" max="14614" width="0" style="30" hidden="1" customWidth="1"/>
    <col min="14615" max="14615" width="6.5703125" style="30" customWidth="1"/>
    <col min="14616" max="14616" width="6" style="30" customWidth="1"/>
    <col min="14617" max="14618" width="6.140625" style="30" customWidth="1"/>
    <col min="14619" max="14619" width="6.5703125" style="30" customWidth="1"/>
    <col min="14620" max="14620" width="6.85546875" style="30" customWidth="1"/>
    <col min="14621" max="14621" width="6" style="30" customWidth="1"/>
    <col min="14622" max="14622" width="6.140625" style="30" customWidth="1"/>
    <col min="14623" max="14623" width="6.42578125" style="30" customWidth="1"/>
    <col min="14624" max="14624" width="5.85546875" style="30" customWidth="1"/>
    <col min="14625" max="14626" width="6.140625" style="30" customWidth="1"/>
    <col min="14627" max="14627" width="6.5703125" style="30" customWidth="1"/>
    <col min="14628" max="14628" width="6.140625" style="30" customWidth="1"/>
    <col min="14629" max="14629" width="5.85546875" style="30" customWidth="1"/>
    <col min="14630" max="14630" width="6.42578125" style="30" customWidth="1"/>
    <col min="14631" max="14631" width="0" style="30" hidden="1" customWidth="1"/>
    <col min="14632" max="14848" width="9.140625" style="30"/>
    <col min="14849" max="14849" width="4" style="30" customWidth="1"/>
    <col min="14850" max="14850" width="35.7109375" style="30" customWidth="1"/>
    <col min="14851" max="14852" width="6.85546875" style="30" customWidth="1"/>
    <col min="14853" max="14853" width="5.42578125" style="30" customWidth="1"/>
    <col min="14854" max="14854" width="5.85546875" style="30" customWidth="1"/>
    <col min="14855" max="14855" width="6.85546875" style="30" customWidth="1"/>
    <col min="14856" max="14856" width="6.7109375" style="30" customWidth="1"/>
    <col min="14857" max="14857" width="5.140625" style="30" customWidth="1"/>
    <col min="14858" max="14858" width="4.85546875" style="30" customWidth="1"/>
    <col min="14859" max="14859" width="6.5703125" style="30" customWidth="1"/>
    <col min="14860" max="14860" width="6.28515625" style="30" customWidth="1"/>
    <col min="14861" max="14861" width="5.140625" style="30" customWidth="1"/>
    <col min="14862" max="14862" width="5.85546875" style="30" customWidth="1"/>
    <col min="14863" max="14863" width="6" style="30" customWidth="1"/>
    <col min="14864" max="14864" width="6.28515625" style="30" customWidth="1"/>
    <col min="14865" max="14865" width="5.140625" style="30" customWidth="1"/>
    <col min="14866" max="14866" width="5.42578125" style="30" customWidth="1"/>
    <col min="14867" max="14870" width="0" style="30" hidden="1" customWidth="1"/>
    <col min="14871" max="14871" width="6.5703125" style="30" customWidth="1"/>
    <col min="14872" max="14872" width="6" style="30" customWidth="1"/>
    <col min="14873" max="14874" width="6.140625" style="30" customWidth="1"/>
    <col min="14875" max="14875" width="6.5703125" style="30" customWidth="1"/>
    <col min="14876" max="14876" width="6.85546875" style="30" customWidth="1"/>
    <col min="14877" max="14877" width="6" style="30" customWidth="1"/>
    <col min="14878" max="14878" width="6.140625" style="30" customWidth="1"/>
    <col min="14879" max="14879" width="6.42578125" style="30" customWidth="1"/>
    <col min="14880" max="14880" width="5.85546875" style="30" customWidth="1"/>
    <col min="14881" max="14882" width="6.140625" style="30" customWidth="1"/>
    <col min="14883" max="14883" width="6.5703125" style="30" customWidth="1"/>
    <col min="14884" max="14884" width="6.140625" style="30" customWidth="1"/>
    <col min="14885" max="14885" width="5.85546875" style="30" customWidth="1"/>
    <col min="14886" max="14886" width="6.42578125" style="30" customWidth="1"/>
    <col min="14887" max="14887" width="0" style="30" hidden="1" customWidth="1"/>
    <col min="14888" max="15104" width="9.140625" style="30"/>
    <col min="15105" max="15105" width="4" style="30" customWidth="1"/>
    <col min="15106" max="15106" width="35.7109375" style="30" customWidth="1"/>
    <col min="15107" max="15108" width="6.85546875" style="30" customWidth="1"/>
    <col min="15109" max="15109" width="5.42578125" style="30" customWidth="1"/>
    <col min="15110" max="15110" width="5.85546875" style="30" customWidth="1"/>
    <col min="15111" max="15111" width="6.85546875" style="30" customWidth="1"/>
    <col min="15112" max="15112" width="6.7109375" style="30" customWidth="1"/>
    <col min="15113" max="15113" width="5.140625" style="30" customWidth="1"/>
    <col min="15114" max="15114" width="4.85546875" style="30" customWidth="1"/>
    <col min="15115" max="15115" width="6.5703125" style="30" customWidth="1"/>
    <col min="15116" max="15116" width="6.28515625" style="30" customWidth="1"/>
    <col min="15117" max="15117" width="5.140625" style="30" customWidth="1"/>
    <col min="15118" max="15118" width="5.85546875" style="30" customWidth="1"/>
    <col min="15119" max="15119" width="6" style="30" customWidth="1"/>
    <col min="15120" max="15120" width="6.28515625" style="30" customWidth="1"/>
    <col min="15121" max="15121" width="5.140625" style="30" customWidth="1"/>
    <col min="15122" max="15122" width="5.42578125" style="30" customWidth="1"/>
    <col min="15123" max="15126" width="0" style="30" hidden="1" customWidth="1"/>
    <col min="15127" max="15127" width="6.5703125" style="30" customWidth="1"/>
    <col min="15128" max="15128" width="6" style="30" customWidth="1"/>
    <col min="15129" max="15130" width="6.140625" style="30" customWidth="1"/>
    <col min="15131" max="15131" width="6.5703125" style="30" customWidth="1"/>
    <col min="15132" max="15132" width="6.85546875" style="30" customWidth="1"/>
    <col min="15133" max="15133" width="6" style="30" customWidth="1"/>
    <col min="15134" max="15134" width="6.140625" style="30" customWidth="1"/>
    <col min="15135" max="15135" width="6.42578125" style="30" customWidth="1"/>
    <col min="15136" max="15136" width="5.85546875" style="30" customWidth="1"/>
    <col min="15137" max="15138" width="6.140625" style="30" customWidth="1"/>
    <col min="15139" max="15139" width="6.5703125" style="30" customWidth="1"/>
    <col min="15140" max="15140" width="6.140625" style="30" customWidth="1"/>
    <col min="15141" max="15141" width="5.85546875" style="30" customWidth="1"/>
    <col min="15142" max="15142" width="6.42578125" style="30" customWidth="1"/>
    <col min="15143" max="15143" width="0" style="30" hidden="1" customWidth="1"/>
    <col min="15144" max="15360" width="9.140625" style="30"/>
    <col min="15361" max="15361" width="4" style="30" customWidth="1"/>
    <col min="15362" max="15362" width="35.7109375" style="30" customWidth="1"/>
    <col min="15363" max="15364" width="6.85546875" style="30" customWidth="1"/>
    <col min="15365" max="15365" width="5.42578125" style="30" customWidth="1"/>
    <col min="15366" max="15366" width="5.85546875" style="30" customWidth="1"/>
    <col min="15367" max="15367" width="6.85546875" style="30" customWidth="1"/>
    <col min="15368" max="15368" width="6.7109375" style="30" customWidth="1"/>
    <col min="15369" max="15369" width="5.140625" style="30" customWidth="1"/>
    <col min="15370" max="15370" width="4.85546875" style="30" customWidth="1"/>
    <col min="15371" max="15371" width="6.5703125" style="30" customWidth="1"/>
    <col min="15372" max="15372" width="6.28515625" style="30" customWidth="1"/>
    <col min="15373" max="15373" width="5.140625" style="30" customWidth="1"/>
    <col min="15374" max="15374" width="5.85546875" style="30" customWidth="1"/>
    <col min="15375" max="15375" width="6" style="30" customWidth="1"/>
    <col min="15376" max="15376" width="6.28515625" style="30" customWidth="1"/>
    <col min="15377" max="15377" width="5.140625" style="30" customWidth="1"/>
    <col min="15378" max="15378" width="5.42578125" style="30" customWidth="1"/>
    <col min="15379" max="15382" width="0" style="30" hidden="1" customWidth="1"/>
    <col min="15383" max="15383" width="6.5703125" style="30" customWidth="1"/>
    <col min="15384" max="15384" width="6" style="30" customWidth="1"/>
    <col min="15385" max="15386" width="6.140625" style="30" customWidth="1"/>
    <col min="15387" max="15387" width="6.5703125" style="30" customWidth="1"/>
    <col min="15388" max="15388" width="6.85546875" style="30" customWidth="1"/>
    <col min="15389" max="15389" width="6" style="30" customWidth="1"/>
    <col min="15390" max="15390" width="6.140625" style="30" customWidth="1"/>
    <col min="15391" max="15391" width="6.42578125" style="30" customWidth="1"/>
    <col min="15392" max="15392" width="5.85546875" style="30" customWidth="1"/>
    <col min="15393" max="15394" width="6.140625" style="30" customWidth="1"/>
    <col min="15395" max="15395" width="6.5703125" style="30" customWidth="1"/>
    <col min="15396" max="15396" width="6.140625" style="30" customWidth="1"/>
    <col min="15397" max="15397" width="5.85546875" style="30" customWidth="1"/>
    <col min="15398" max="15398" width="6.42578125" style="30" customWidth="1"/>
    <col min="15399" max="15399" width="0" style="30" hidden="1" customWidth="1"/>
    <col min="15400" max="15616" width="9.140625" style="30"/>
    <col min="15617" max="15617" width="4" style="30" customWidth="1"/>
    <col min="15618" max="15618" width="35.7109375" style="30" customWidth="1"/>
    <col min="15619" max="15620" width="6.85546875" style="30" customWidth="1"/>
    <col min="15621" max="15621" width="5.42578125" style="30" customWidth="1"/>
    <col min="15622" max="15622" width="5.85546875" style="30" customWidth="1"/>
    <col min="15623" max="15623" width="6.85546875" style="30" customWidth="1"/>
    <col min="15624" max="15624" width="6.7109375" style="30" customWidth="1"/>
    <col min="15625" max="15625" width="5.140625" style="30" customWidth="1"/>
    <col min="15626" max="15626" width="4.85546875" style="30" customWidth="1"/>
    <col min="15627" max="15627" width="6.5703125" style="30" customWidth="1"/>
    <col min="15628" max="15628" width="6.28515625" style="30" customWidth="1"/>
    <col min="15629" max="15629" width="5.140625" style="30" customWidth="1"/>
    <col min="15630" max="15630" width="5.85546875" style="30" customWidth="1"/>
    <col min="15631" max="15631" width="6" style="30" customWidth="1"/>
    <col min="15632" max="15632" width="6.28515625" style="30" customWidth="1"/>
    <col min="15633" max="15633" width="5.140625" style="30" customWidth="1"/>
    <col min="15634" max="15634" width="5.42578125" style="30" customWidth="1"/>
    <col min="15635" max="15638" width="0" style="30" hidden="1" customWidth="1"/>
    <col min="15639" max="15639" width="6.5703125" style="30" customWidth="1"/>
    <col min="15640" max="15640" width="6" style="30" customWidth="1"/>
    <col min="15641" max="15642" width="6.140625" style="30" customWidth="1"/>
    <col min="15643" max="15643" width="6.5703125" style="30" customWidth="1"/>
    <col min="15644" max="15644" width="6.85546875" style="30" customWidth="1"/>
    <col min="15645" max="15645" width="6" style="30" customWidth="1"/>
    <col min="15646" max="15646" width="6.140625" style="30" customWidth="1"/>
    <col min="15647" max="15647" width="6.42578125" style="30" customWidth="1"/>
    <col min="15648" max="15648" width="5.85546875" style="30" customWidth="1"/>
    <col min="15649" max="15650" width="6.140625" style="30" customWidth="1"/>
    <col min="15651" max="15651" width="6.5703125" style="30" customWidth="1"/>
    <col min="15652" max="15652" width="6.140625" style="30" customWidth="1"/>
    <col min="15653" max="15653" width="5.85546875" style="30" customWidth="1"/>
    <col min="15654" max="15654" width="6.42578125" style="30" customWidth="1"/>
    <col min="15655" max="15655" width="0" style="30" hidden="1" customWidth="1"/>
    <col min="15656" max="15872" width="9.140625" style="30"/>
    <col min="15873" max="15873" width="4" style="30" customWidth="1"/>
    <col min="15874" max="15874" width="35.7109375" style="30" customWidth="1"/>
    <col min="15875" max="15876" width="6.85546875" style="30" customWidth="1"/>
    <col min="15877" max="15877" width="5.42578125" style="30" customWidth="1"/>
    <col min="15878" max="15878" width="5.85546875" style="30" customWidth="1"/>
    <col min="15879" max="15879" width="6.85546875" style="30" customWidth="1"/>
    <col min="15880" max="15880" width="6.7109375" style="30" customWidth="1"/>
    <col min="15881" max="15881" width="5.140625" style="30" customWidth="1"/>
    <col min="15882" max="15882" width="4.85546875" style="30" customWidth="1"/>
    <col min="15883" max="15883" width="6.5703125" style="30" customWidth="1"/>
    <col min="15884" max="15884" width="6.28515625" style="30" customWidth="1"/>
    <col min="15885" max="15885" width="5.140625" style="30" customWidth="1"/>
    <col min="15886" max="15886" width="5.85546875" style="30" customWidth="1"/>
    <col min="15887" max="15887" width="6" style="30" customWidth="1"/>
    <col min="15888" max="15888" width="6.28515625" style="30" customWidth="1"/>
    <col min="15889" max="15889" width="5.140625" style="30" customWidth="1"/>
    <col min="15890" max="15890" width="5.42578125" style="30" customWidth="1"/>
    <col min="15891" max="15894" width="0" style="30" hidden="1" customWidth="1"/>
    <col min="15895" max="15895" width="6.5703125" style="30" customWidth="1"/>
    <col min="15896" max="15896" width="6" style="30" customWidth="1"/>
    <col min="15897" max="15898" width="6.140625" style="30" customWidth="1"/>
    <col min="15899" max="15899" width="6.5703125" style="30" customWidth="1"/>
    <col min="15900" max="15900" width="6.85546875" style="30" customWidth="1"/>
    <col min="15901" max="15901" width="6" style="30" customWidth="1"/>
    <col min="15902" max="15902" width="6.140625" style="30" customWidth="1"/>
    <col min="15903" max="15903" width="6.42578125" style="30" customWidth="1"/>
    <col min="15904" max="15904" width="5.85546875" style="30" customWidth="1"/>
    <col min="15905" max="15906" width="6.140625" style="30" customWidth="1"/>
    <col min="15907" max="15907" width="6.5703125" style="30" customWidth="1"/>
    <col min="15908" max="15908" width="6.140625" style="30" customWidth="1"/>
    <col min="15909" max="15909" width="5.85546875" style="30" customWidth="1"/>
    <col min="15910" max="15910" width="6.42578125" style="30" customWidth="1"/>
    <col min="15911" max="15911" width="0" style="30" hidden="1" customWidth="1"/>
    <col min="15912" max="16128" width="9.140625" style="30"/>
    <col min="16129" max="16129" width="4" style="30" customWidth="1"/>
    <col min="16130" max="16130" width="35.7109375" style="30" customWidth="1"/>
    <col min="16131" max="16132" width="6.85546875" style="30" customWidth="1"/>
    <col min="16133" max="16133" width="5.42578125" style="30" customWidth="1"/>
    <col min="16134" max="16134" width="5.85546875" style="30" customWidth="1"/>
    <col min="16135" max="16135" width="6.85546875" style="30" customWidth="1"/>
    <col min="16136" max="16136" width="6.7109375" style="30" customWidth="1"/>
    <col min="16137" max="16137" width="5.140625" style="30" customWidth="1"/>
    <col min="16138" max="16138" width="4.85546875" style="30" customWidth="1"/>
    <col min="16139" max="16139" width="6.5703125" style="30" customWidth="1"/>
    <col min="16140" max="16140" width="6.28515625" style="30" customWidth="1"/>
    <col min="16141" max="16141" width="5.140625" style="30" customWidth="1"/>
    <col min="16142" max="16142" width="5.85546875" style="30" customWidth="1"/>
    <col min="16143" max="16143" width="6" style="30" customWidth="1"/>
    <col min="16144" max="16144" width="6.28515625" style="30" customWidth="1"/>
    <col min="16145" max="16145" width="5.140625" style="30" customWidth="1"/>
    <col min="16146" max="16146" width="5.42578125" style="30" customWidth="1"/>
    <col min="16147" max="16150" width="0" style="30" hidden="1" customWidth="1"/>
    <col min="16151" max="16151" width="6.5703125" style="30" customWidth="1"/>
    <col min="16152" max="16152" width="6" style="30" customWidth="1"/>
    <col min="16153" max="16154" width="6.140625" style="30" customWidth="1"/>
    <col min="16155" max="16155" width="6.5703125" style="30" customWidth="1"/>
    <col min="16156" max="16156" width="6.85546875" style="30" customWidth="1"/>
    <col min="16157" max="16157" width="6" style="30" customWidth="1"/>
    <col min="16158" max="16158" width="6.140625" style="30" customWidth="1"/>
    <col min="16159" max="16159" width="6.42578125" style="30" customWidth="1"/>
    <col min="16160" max="16160" width="5.85546875" style="30" customWidth="1"/>
    <col min="16161" max="16162" width="6.140625" style="30" customWidth="1"/>
    <col min="16163" max="16163" width="6.5703125" style="30" customWidth="1"/>
    <col min="16164" max="16164" width="6.140625" style="30" customWidth="1"/>
    <col min="16165" max="16165" width="5.85546875" style="30" customWidth="1"/>
    <col min="16166" max="16166" width="6.42578125" style="30" customWidth="1"/>
    <col min="16167" max="16167" width="0" style="30" hidden="1" customWidth="1"/>
    <col min="16168" max="16384" width="9.140625" style="30"/>
  </cols>
  <sheetData>
    <row r="1" spans="1:41" ht="12.95" customHeight="1">
      <c r="AJ1" s="323" t="s">
        <v>265</v>
      </c>
      <c r="AK1" s="323"/>
      <c r="AL1" s="323"/>
    </row>
    <row r="2" spans="1:41" ht="12.95" customHeight="1">
      <c r="A2" s="332" t="s">
        <v>266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</row>
    <row r="3" spans="1:41" ht="12.75" customHeight="1" thickBot="1">
      <c r="A3" s="190"/>
      <c r="B3" s="10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333" t="s">
        <v>267</v>
      </c>
      <c r="AL3" s="333"/>
    </row>
    <row r="4" spans="1:41" ht="12.95" customHeight="1">
      <c r="A4" s="218"/>
      <c r="B4" s="101"/>
      <c r="C4" s="334" t="s">
        <v>268</v>
      </c>
      <c r="D4" s="335"/>
      <c r="E4" s="335"/>
      <c r="F4" s="335"/>
      <c r="G4" s="335"/>
      <c r="H4" s="335"/>
      <c r="I4" s="335"/>
      <c r="J4" s="336"/>
      <c r="K4" s="334" t="s">
        <v>269</v>
      </c>
      <c r="L4" s="335"/>
      <c r="M4" s="335"/>
      <c r="N4" s="335"/>
      <c r="O4" s="335"/>
      <c r="P4" s="335"/>
      <c r="Q4" s="335"/>
      <c r="R4" s="336"/>
      <c r="S4" s="340" t="s">
        <v>270</v>
      </c>
      <c r="T4" s="340"/>
      <c r="U4" s="340"/>
      <c r="V4" s="340"/>
      <c r="W4" s="341" t="s">
        <v>271</v>
      </c>
      <c r="X4" s="342"/>
      <c r="Y4" s="342"/>
      <c r="Z4" s="342"/>
      <c r="AA4" s="342"/>
      <c r="AB4" s="342"/>
      <c r="AC4" s="342"/>
      <c r="AD4" s="343"/>
      <c r="AE4" s="341" t="s">
        <v>272</v>
      </c>
      <c r="AF4" s="342"/>
      <c r="AG4" s="342"/>
      <c r="AH4" s="342"/>
      <c r="AI4" s="342"/>
      <c r="AJ4" s="342"/>
      <c r="AK4" s="342"/>
      <c r="AL4" s="343"/>
    </row>
    <row r="5" spans="1:41" ht="12.95" customHeight="1">
      <c r="A5" s="219"/>
      <c r="B5" s="102"/>
      <c r="C5" s="337"/>
      <c r="D5" s="338"/>
      <c r="E5" s="338"/>
      <c r="F5" s="338"/>
      <c r="G5" s="338"/>
      <c r="H5" s="338"/>
      <c r="I5" s="338"/>
      <c r="J5" s="339"/>
      <c r="K5" s="337"/>
      <c r="L5" s="338"/>
      <c r="M5" s="338"/>
      <c r="N5" s="338"/>
      <c r="O5" s="338"/>
      <c r="P5" s="338"/>
      <c r="Q5" s="338"/>
      <c r="R5" s="339"/>
      <c r="S5" s="220"/>
      <c r="T5" s="220"/>
      <c r="U5" s="220"/>
      <c r="V5" s="220"/>
      <c r="W5" s="344"/>
      <c r="X5" s="345"/>
      <c r="Y5" s="345"/>
      <c r="Z5" s="345"/>
      <c r="AA5" s="345"/>
      <c r="AB5" s="345"/>
      <c r="AC5" s="345"/>
      <c r="AD5" s="346"/>
      <c r="AE5" s="344"/>
      <c r="AF5" s="345"/>
      <c r="AG5" s="345"/>
      <c r="AH5" s="345"/>
      <c r="AI5" s="345"/>
      <c r="AJ5" s="345"/>
      <c r="AK5" s="345"/>
      <c r="AL5" s="346"/>
    </row>
    <row r="6" spans="1:41" ht="12.95" customHeight="1">
      <c r="A6" s="219"/>
      <c r="B6" s="102"/>
      <c r="C6" s="325">
        <v>2012</v>
      </c>
      <c r="D6" s="326">
        <v>2013</v>
      </c>
      <c r="E6" s="327" t="s">
        <v>273</v>
      </c>
      <c r="F6" s="328"/>
      <c r="G6" s="296" t="s">
        <v>274</v>
      </c>
      <c r="H6" s="296"/>
      <c r="I6" s="296"/>
      <c r="J6" s="324"/>
      <c r="K6" s="350">
        <v>2012</v>
      </c>
      <c r="L6" s="351">
        <v>2013</v>
      </c>
      <c r="M6" s="352" t="s">
        <v>273</v>
      </c>
      <c r="N6" s="353"/>
      <c r="O6" s="296" t="s">
        <v>274</v>
      </c>
      <c r="P6" s="296"/>
      <c r="Q6" s="296"/>
      <c r="R6" s="324"/>
      <c r="S6" s="220"/>
      <c r="T6" s="220"/>
      <c r="U6" s="220"/>
      <c r="V6" s="220"/>
      <c r="W6" s="325">
        <v>2012</v>
      </c>
      <c r="X6" s="326">
        <v>2013</v>
      </c>
      <c r="Y6" s="327" t="s">
        <v>273</v>
      </c>
      <c r="Z6" s="328"/>
      <c r="AA6" s="329" t="s">
        <v>274</v>
      </c>
      <c r="AB6" s="330"/>
      <c r="AC6" s="330"/>
      <c r="AD6" s="331"/>
      <c r="AE6" s="325">
        <v>2012</v>
      </c>
      <c r="AF6" s="326">
        <v>2013</v>
      </c>
      <c r="AG6" s="327" t="s">
        <v>273</v>
      </c>
      <c r="AH6" s="328"/>
      <c r="AI6" s="329" t="s">
        <v>274</v>
      </c>
      <c r="AJ6" s="330"/>
      <c r="AK6" s="330"/>
      <c r="AL6" s="331"/>
    </row>
    <row r="7" spans="1:41" ht="12.95" customHeight="1">
      <c r="A7" s="219"/>
      <c r="B7" s="102"/>
      <c r="C7" s="325"/>
      <c r="D7" s="326"/>
      <c r="E7" s="327"/>
      <c r="F7" s="327"/>
      <c r="G7" s="347">
        <v>2012</v>
      </c>
      <c r="H7" s="326">
        <v>2013</v>
      </c>
      <c r="I7" s="296" t="s">
        <v>273</v>
      </c>
      <c r="J7" s="324"/>
      <c r="K7" s="325"/>
      <c r="L7" s="326"/>
      <c r="M7" s="327"/>
      <c r="N7" s="327"/>
      <c r="O7" s="347">
        <v>2012</v>
      </c>
      <c r="P7" s="326">
        <v>2013</v>
      </c>
      <c r="Q7" s="296" t="s">
        <v>273</v>
      </c>
      <c r="R7" s="324"/>
      <c r="S7" s="349">
        <v>2010</v>
      </c>
      <c r="T7" s="326">
        <v>2011</v>
      </c>
      <c r="U7" s="296" t="s">
        <v>273</v>
      </c>
      <c r="V7" s="329"/>
      <c r="W7" s="325"/>
      <c r="X7" s="326"/>
      <c r="Y7" s="327"/>
      <c r="Z7" s="327"/>
      <c r="AA7" s="347">
        <v>2012</v>
      </c>
      <c r="AB7" s="326">
        <v>2013</v>
      </c>
      <c r="AC7" s="296" t="s">
        <v>273</v>
      </c>
      <c r="AD7" s="324"/>
      <c r="AE7" s="325"/>
      <c r="AF7" s="326"/>
      <c r="AG7" s="327"/>
      <c r="AH7" s="327"/>
      <c r="AI7" s="347">
        <v>2012</v>
      </c>
      <c r="AJ7" s="326">
        <v>2013</v>
      </c>
      <c r="AK7" s="296" t="s">
        <v>273</v>
      </c>
      <c r="AL7" s="324"/>
    </row>
    <row r="8" spans="1:41" ht="12.95" customHeight="1">
      <c r="A8" s="221"/>
      <c r="B8" s="103"/>
      <c r="C8" s="325"/>
      <c r="D8" s="326"/>
      <c r="E8" s="189" t="s">
        <v>275</v>
      </c>
      <c r="F8" s="189" t="s">
        <v>276</v>
      </c>
      <c r="G8" s="348"/>
      <c r="H8" s="326"/>
      <c r="I8" s="35" t="s">
        <v>275</v>
      </c>
      <c r="J8" s="222" t="s">
        <v>276</v>
      </c>
      <c r="K8" s="325"/>
      <c r="L8" s="326"/>
      <c r="M8" s="189" t="s">
        <v>275</v>
      </c>
      <c r="N8" s="189" t="s">
        <v>276</v>
      </c>
      <c r="O8" s="348"/>
      <c r="P8" s="326"/>
      <c r="Q8" s="35" t="s">
        <v>275</v>
      </c>
      <c r="R8" s="222" t="s">
        <v>276</v>
      </c>
      <c r="S8" s="338"/>
      <c r="T8" s="326"/>
      <c r="U8" s="35" t="s">
        <v>275</v>
      </c>
      <c r="V8" s="223" t="s">
        <v>276</v>
      </c>
      <c r="W8" s="325"/>
      <c r="X8" s="326"/>
      <c r="Y8" s="189" t="s">
        <v>275</v>
      </c>
      <c r="Z8" s="189" t="s">
        <v>276</v>
      </c>
      <c r="AA8" s="348"/>
      <c r="AB8" s="326"/>
      <c r="AC8" s="35" t="s">
        <v>275</v>
      </c>
      <c r="AD8" s="222" t="s">
        <v>276</v>
      </c>
      <c r="AE8" s="325"/>
      <c r="AF8" s="326"/>
      <c r="AG8" s="189" t="s">
        <v>275</v>
      </c>
      <c r="AH8" s="189" t="s">
        <v>276</v>
      </c>
      <c r="AI8" s="348"/>
      <c r="AJ8" s="326"/>
      <c r="AK8" s="35" t="s">
        <v>275</v>
      </c>
      <c r="AL8" s="222" t="s">
        <v>276</v>
      </c>
    </row>
    <row r="9" spans="1:41" s="228" customFormat="1" ht="12.95" customHeight="1">
      <c r="A9" s="224">
        <v>1</v>
      </c>
      <c r="B9" s="104">
        <v>2</v>
      </c>
      <c r="C9" s="224">
        <v>3</v>
      </c>
      <c r="D9" s="225">
        <v>4</v>
      </c>
      <c r="E9" s="225">
        <v>5</v>
      </c>
      <c r="F9" s="225">
        <v>6</v>
      </c>
      <c r="G9" s="225">
        <v>7</v>
      </c>
      <c r="H9" s="225">
        <v>8</v>
      </c>
      <c r="I9" s="225">
        <v>9</v>
      </c>
      <c r="J9" s="226">
        <v>10</v>
      </c>
      <c r="K9" s="224">
        <v>11</v>
      </c>
      <c r="L9" s="225">
        <v>12</v>
      </c>
      <c r="M9" s="225">
        <v>13</v>
      </c>
      <c r="N9" s="225">
        <v>14</v>
      </c>
      <c r="O9" s="225">
        <v>15</v>
      </c>
      <c r="P9" s="225">
        <v>16</v>
      </c>
      <c r="Q9" s="225">
        <v>17</v>
      </c>
      <c r="R9" s="226">
        <v>18</v>
      </c>
      <c r="S9" s="227">
        <v>19</v>
      </c>
      <c r="T9" s="225">
        <v>20</v>
      </c>
      <c r="U9" s="225">
        <v>21</v>
      </c>
      <c r="V9" s="104">
        <v>22</v>
      </c>
      <c r="W9" s="224">
        <v>19</v>
      </c>
      <c r="X9" s="225">
        <v>20</v>
      </c>
      <c r="Y9" s="225">
        <v>21</v>
      </c>
      <c r="Z9" s="225">
        <v>22</v>
      </c>
      <c r="AA9" s="225">
        <v>23</v>
      </c>
      <c r="AB9" s="225">
        <v>24</v>
      </c>
      <c r="AC9" s="225">
        <v>25</v>
      </c>
      <c r="AD9" s="226">
        <v>26</v>
      </c>
      <c r="AE9" s="224">
        <v>27</v>
      </c>
      <c r="AF9" s="225">
        <v>28</v>
      </c>
      <c r="AG9" s="225">
        <v>29</v>
      </c>
      <c r="AH9" s="225">
        <v>30</v>
      </c>
      <c r="AI9" s="225">
        <v>31</v>
      </c>
      <c r="AJ9" s="225">
        <v>32</v>
      </c>
      <c r="AK9" s="225">
        <v>33</v>
      </c>
      <c r="AL9" s="226">
        <v>34</v>
      </c>
    </row>
    <row r="10" spans="1:41" ht="11.45" customHeight="1">
      <c r="A10" s="229">
        <v>1</v>
      </c>
      <c r="B10" s="105" t="s">
        <v>277</v>
      </c>
      <c r="C10" s="230">
        <f t="shared" ref="C10:D36" si="0">+K10+W10+AE10</f>
        <v>1200.3</v>
      </c>
      <c r="D10" s="231">
        <f t="shared" si="0"/>
        <v>1216.4000000000001</v>
      </c>
      <c r="E10" s="231">
        <f t="shared" ref="E10:E72" si="1">+D10/C10*100</f>
        <v>101.34133133383322</v>
      </c>
      <c r="F10" s="231">
        <f t="shared" ref="F10:F72" si="2">+D10-C10</f>
        <v>16.100000000000136</v>
      </c>
      <c r="G10" s="231">
        <f t="shared" ref="G10:H25" si="3">+O10+AA10+AI10</f>
        <v>735.7</v>
      </c>
      <c r="H10" s="231">
        <f t="shared" si="3"/>
        <v>755.9</v>
      </c>
      <c r="I10" s="231">
        <f t="shared" ref="I10:I69" si="4">+H10/G10*100</f>
        <v>102.745684382221</v>
      </c>
      <c r="J10" s="232">
        <f t="shared" ref="J10:J69" si="5">+H10-G10</f>
        <v>20.199999999999932</v>
      </c>
      <c r="K10" s="230">
        <v>654.1</v>
      </c>
      <c r="L10" s="231">
        <v>689.5</v>
      </c>
      <c r="M10" s="231">
        <f t="shared" ref="M10:M66" si="6">+L10/K10*100</f>
        <v>105.41201651123681</v>
      </c>
      <c r="N10" s="231">
        <f t="shared" ref="N10:N72" si="7">+L10-K10</f>
        <v>35.399999999999977</v>
      </c>
      <c r="O10" s="231">
        <v>417</v>
      </c>
      <c r="P10" s="231">
        <v>455</v>
      </c>
      <c r="Q10" s="231">
        <f t="shared" ref="Q10:Q56" si="8">+P10/O10*100</f>
        <v>109.1127098321343</v>
      </c>
      <c r="R10" s="232">
        <f t="shared" ref="R10:R69" si="9">+P10-O10</f>
        <v>38</v>
      </c>
      <c r="S10" s="233"/>
      <c r="T10" s="231"/>
      <c r="U10" s="231"/>
      <c r="V10" s="234"/>
      <c r="W10" s="230">
        <v>436.4</v>
      </c>
      <c r="X10" s="231">
        <v>413.2</v>
      </c>
      <c r="Y10" s="231">
        <f t="shared" ref="Y10:Y30" si="10">+X10/W10*100</f>
        <v>94.683776351970678</v>
      </c>
      <c r="Z10" s="231">
        <f t="shared" ref="Z10:Z45" si="11">+X10-W10</f>
        <v>-23.199999999999989</v>
      </c>
      <c r="AA10" s="231">
        <v>318.7</v>
      </c>
      <c r="AB10" s="231">
        <v>300.89999999999998</v>
      </c>
      <c r="AC10" s="231">
        <f t="shared" ref="AC10:AC30" si="12">+AB10/AA10*100</f>
        <v>94.414810166300583</v>
      </c>
      <c r="AD10" s="232">
        <f t="shared" ref="AD10:AD45" si="13">+AB10-AA10</f>
        <v>-17.800000000000011</v>
      </c>
      <c r="AE10" s="230">
        <v>109.8</v>
      </c>
      <c r="AF10" s="231">
        <f>0.5+113.2</f>
        <v>113.7</v>
      </c>
      <c r="AG10" s="231">
        <f t="shared" ref="AG10:AG53" si="14">+AF10/AE10*100</f>
        <v>103.55191256830602</v>
      </c>
      <c r="AH10" s="231">
        <f t="shared" ref="AH10:AH59" si="15">+AF10-AE10</f>
        <v>3.9000000000000057</v>
      </c>
      <c r="AI10" s="231"/>
      <c r="AJ10" s="231"/>
      <c r="AK10" s="231"/>
      <c r="AL10" s="232"/>
      <c r="AO10" s="51"/>
    </row>
    <row r="11" spans="1:41" ht="11.45" customHeight="1">
      <c r="A11" s="229">
        <v>2</v>
      </c>
      <c r="B11" s="105" t="s">
        <v>278</v>
      </c>
      <c r="C11" s="230">
        <f t="shared" si="0"/>
        <v>1301.5000000000002</v>
      </c>
      <c r="D11" s="231">
        <f t="shared" si="0"/>
        <v>1404.1999999999998</v>
      </c>
      <c r="E11" s="231">
        <f t="shared" si="1"/>
        <v>107.89089512101417</v>
      </c>
      <c r="F11" s="231">
        <f t="shared" si="2"/>
        <v>102.69999999999959</v>
      </c>
      <c r="G11" s="231">
        <f t="shared" si="3"/>
        <v>802</v>
      </c>
      <c r="H11" s="231">
        <f t="shared" si="3"/>
        <v>884.8</v>
      </c>
      <c r="I11" s="231">
        <f t="shared" si="4"/>
        <v>110.32418952618453</v>
      </c>
      <c r="J11" s="232">
        <f t="shared" si="5"/>
        <v>82.799999999999955</v>
      </c>
      <c r="K11" s="230">
        <v>779.2</v>
      </c>
      <c r="L11" s="231">
        <v>829</v>
      </c>
      <c r="M11" s="231">
        <f t="shared" si="6"/>
        <v>106.39117043121149</v>
      </c>
      <c r="N11" s="231">
        <f t="shared" si="7"/>
        <v>49.799999999999955</v>
      </c>
      <c r="O11" s="231">
        <v>490.3</v>
      </c>
      <c r="P11" s="231">
        <v>571.5</v>
      </c>
      <c r="Q11" s="231">
        <f t="shared" si="8"/>
        <v>116.56128900673058</v>
      </c>
      <c r="R11" s="232">
        <f t="shared" si="9"/>
        <v>81.199999999999989</v>
      </c>
      <c r="S11" s="233"/>
      <c r="T11" s="231"/>
      <c r="U11" s="231"/>
      <c r="V11" s="234"/>
      <c r="W11" s="230">
        <v>427.1</v>
      </c>
      <c r="X11" s="231">
        <v>429.1</v>
      </c>
      <c r="Y11" s="231">
        <f t="shared" si="10"/>
        <v>100.46827440880355</v>
      </c>
      <c r="Z11" s="231">
        <f t="shared" si="11"/>
        <v>2</v>
      </c>
      <c r="AA11" s="231">
        <v>311.7</v>
      </c>
      <c r="AB11" s="231">
        <v>313.3</v>
      </c>
      <c r="AC11" s="231">
        <f t="shared" si="12"/>
        <v>100.5133140840552</v>
      </c>
      <c r="AD11" s="232">
        <f t="shared" si="13"/>
        <v>1.6000000000000227</v>
      </c>
      <c r="AE11" s="230">
        <f>72.4+22.8</f>
        <v>95.2</v>
      </c>
      <c r="AF11" s="231">
        <f>1.7+144.4</f>
        <v>146.1</v>
      </c>
      <c r="AG11" s="231">
        <f t="shared" si="14"/>
        <v>153.46638655462183</v>
      </c>
      <c r="AH11" s="231">
        <f t="shared" si="15"/>
        <v>50.899999999999991</v>
      </c>
      <c r="AI11" s="231"/>
      <c r="AJ11" s="231"/>
      <c r="AK11" s="231"/>
      <c r="AL11" s="232"/>
      <c r="AO11" s="51"/>
    </row>
    <row r="12" spans="1:41" ht="11.45" customHeight="1">
      <c r="A12" s="229">
        <v>3</v>
      </c>
      <c r="B12" s="105" t="s">
        <v>279</v>
      </c>
      <c r="C12" s="230">
        <f t="shared" si="0"/>
        <v>1239.6000000000001</v>
      </c>
      <c r="D12" s="231">
        <f t="shared" si="0"/>
        <v>1286.6999999999998</v>
      </c>
      <c r="E12" s="231">
        <f t="shared" si="1"/>
        <v>103.79961277831555</v>
      </c>
      <c r="F12" s="231">
        <f t="shared" si="2"/>
        <v>47.099999999999682</v>
      </c>
      <c r="G12" s="231">
        <f t="shared" si="3"/>
        <v>735.09999999999991</v>
      </c>
      <c r="H12" s="231">
        <f t="shared" si="3"/>
        <v>792.09999999999991</v>
      </c>
      <c r="I12" s="231">
        <f t="shared" si="4"/>
        <v>107.75404706842606</v>
      </c>
      <c r="J12" s="232">
        <f t="shared" si="5"/>
        <v>57</v>
      </c>
      <c r="K12" s="230">
        <v>549.20000000000005</v>
      </c>
      <c r="L12" s="231">
        <v>592.79999999999995</v>
      </c>
      <c r="M12" s="231">
        <f t="shared" si="6"/>
        <v>107.93882010196647</v>
      </c>
      <c r="N12" s="231">
        <f t="shared" si="7"/>
        <v>43.599999999999909</v>
      </c>
      <c r="O12" s="231">
        <v>321.7</v>
      </c>
      <c r="P12" s="231">
        <v>374</v>
      </c>
      <c r="Q12" s="231">
        <f t="shared" si="8"/>
        <v>116.2573826546472</v>
      </c>
      <c r="R12" s="232">
        <f t="shared" si="9"/>
        <v>52.300000000000011</v>
      </c>
      <c r="S12" s="233"/>
      <c r="T12" s="231"/>
      <c r="U12" s="231"/>
      <c r="V12" s="234"/>
      <c r="W12" s="230">
        <v>563.70000000000005</v>
      </c>
      <c r="X12" s="231">
        <f>1.3+570.6</f>
        <v>571.9</v>
      </c>
      <c r="Y12" s="231">
        <f t="shared" si="10"/>
        <v>101.45467447223699</v>
      </c>
      <c r="Z12" s="231">
        <f t="shared" si="11"/>
        <v>8.1999999999999318</v>
      </c>
      <c r="AA12" s="231">
        <v>413.4</v>
      </c>
      <c r="AB12" s="231">
        <f>0.9+417.2</f>
        <v>418.09999999999997</v>
      </c>
      <c r="AC12" s="231">
        <f t="shared" si="12"/>
        <v>101.13691340106435</v>
      </c>
      <c r="AD12" s="232">
        <f t="shared" si="13"/>
        <v>4.6999999999999886</v>
      </c>
      <c r="AE12" s="230">
        <f>121.2+5.5</f>
        <v>126.7</v>
      </c>
      <c r="AF12" s="231">
        <f>2.8+119.2</f>
        <v>122</v>
      </c>
      <c r="AG12" s="231">
        <f t="shared" si="14"/>
        <v>96.290449881610101</v>
      </c>
      <c r="AH12" s="231">
        <f t="shared" si="15"/>
        <v>-4.7000000000000028</v>
      </c>
      <c r="AI12" s="231"/>
      <c r="AJ12" s="231"/>
      <c r="AK12" s="231"/>
      <c r="AL12" s="232"/>
      <c r="AO12" s="51"/>
    </row>
    <row r="13" spans="1:41" ht="11.45" customHeight="1">
      <c r="A13" s="229">
        <v>4</v>
      </c>
      <c r="B13" s="105" t="s">
        <v>280</v>
      </c>
      <c r="C13" s="230">
        <f t="shared" si="0"/>
        <v>1433.3</v>
      </c>
      <c r="D13" s="231">
        <f t="shared" si="0"/>
        <v>1465.2</v>
      </c>
      <c r="E13" s="231">
        <f t="shared" si="1"/>
        <v>102.22563315425941</v>
      </c>
      <c r="F13" s="231">
        <f t="shared" si="2"/>
        <v>31.900000000000091</v>
      </c>
      <c r="G13" s="231">
        <f t="shared" si="3"/>
        <v>813.5</v>
      </c>
      <c r="H13" s="231">
        <f t="shared" si="3"/>
        <v>891.1</v>
      </c>
      <c r="I13" s="231">
        <f t="shared" si="4"/>
        <v>109.53902888752305</v>
      </c>
      <c r="J13" s="232">
        <f t="shared" si="5"/>
        <v>77.600000000000023</v>
      </c>
      <c r="K13" s="230">
        <v>581.29999999999995</v>
      </c>
      <c r="L13" s="231">
        <v>637.6</v>
      </c>
      <c r="M13" s="231">
        <f t="shared" si="6"/>
        <v>109.68518837089285</v>
      </c>
      <c r="N13" s="231">
        <f t="shared" si="7"/>
        <v>56.300000000000068</v>
      </c>
      <c r="O13" s="231">
        <v>344.4</v>
      </c>
      <c r="P13" s="231">
        <v>402</v>
      </c>
      <c r="Q13" s="231">
        <f t="shared" si="8"/>
        <v>116.72473867595821</v>
      </c>
      <c r="R13" s="232">
        <f t="shared" si="9"/>
        <v>57.600000000000023</v>
      </c>
      <c r="S13" s="233"/>
      <c r="T13" s="231"/>
      <c r="U13" s="231"/>
      <c r="V13" s="234"/>
      <c r="W13" s="230">
        <v>666</v>
      </c>
      <c r="X13" s="231">
        <v>669.9</v>
      </c>
      <c r="Y13" s="231">
        <f t="shared" si="10"/>
        <v>100.58558558558559</v>
      </c>
      <c r="Z13" s="231">
        <f t="shared" si="11"/>
        <v>3.8999999999999773</v>
      </c>
      <c r="AA13" s="231">
        <v>469.1</v>
      </c>
      <c r="AB13" s="231">
        <v>489.1</v>
      </c>
      <c r="AC13" s="231">
        <f t="shared" si="12"/>
        <v>104.26348326582817</v>
      </c>
      <c r="AD13" s="232">
        <f t="shared" si="13"/>
        <v>20</v>
      </c>
      <c r="AE13" s="230">
        <f>6+7+173</f>
        <v>186</v>
      </c>
      <c r="AF13" s="231">
        <f>5.3+148.6+3.8</f>
        <v>157.70000000000002</v>
      </c>
      <c r="AG13" s="231">
        <f t="shared" si="14"/>
        <v>84.784946236559151</v>
      </c>
      <c r="AH13" s="231">
        <f t="shared" si="15"/>
        <v>-28.299999999999983</v>
      </c>
      <c r="AI13" s="231"/>
      <c r="AJ13" s="231"/>
      <c r="AK13" s="231"/>
      <c r="AL13" s="232"/>
      <c r="AO13" s="51"/>
    </row>
    <row r="14" spans="1:41" ht="11.45" customHeight="1">
      <c r="A14" s="229">
        <v>5</v>
      </c>
      <c r="B14" s="105" t="s">
        <v>281</v>
      </c>
      <c r="C14" s="230">
        <f t="shared" si="0"/>
        <v>1346.8</v>
      </c>
      <c r="D14" s="231">
        <f t="shared" si="0"/>
        <v>1382.3000000000002</v>
      </c>
      <c r="E14" s="231">
        <f t="shared" si="1"/>
        <v>102.63587763587765</v>
      </c>
      <c r="F14" s="231">
        <f t="shared" si="2"/>
        <v>35.500000000000227</v>
      </c>
      <c r="G14" s="231">
        <f t="shared" si="3"/>
        <v>781</v>
      </c>
      <c r="H14" s="231">
        <f t="shared" si="3"/>
        <v>828.3</v>
      </c>
      <c r="I14" s="231">
        <f t="shared" si="4"/>
        <v>106.05633802816901</v>
      </c>
      <c r="J14" s="232">
        <f t="shared" si="5"/>
        <v>47.299999999999955</v>
      </c>
      <c r="K14" s="230">
        <v>654.5</v>
      </c>
      <c r="L14" s="231">
        <v>688.2</v>
      </c>
      <c r="M14" s="231">
        <f t="shared" si="6"/>
        <v>105.14896867838046</v>
      </c>
      <c r="N14" s="231">
        <f t="shared" si="7"/>
        <v>33.700000000000045</v>
      </c>
      <c r="O14" s="231">
        <v>407.4</v>
      </c>
      <c r="P14" s="231">
        <v>443.6</v>
      </c>
      <c r="Q14" s="231">
        <f t="shared" si="8"/>
        <v>108.88561610211096</v>
      </c>
      <c r="R14" s="232">
        <f t="shared" si="9"/>
        <v>36.200000000000045</v>
      </c>
      <c r="S14" s="233"/>
      <c r="T14" s="231"/>
      <c r="U14" s="231"/>
      <c r="V14" s="234"/>
      <c r="W14" s="230">
        <v>522.5</v>
      </c>
      <c r="X14" s="231">
        <v>529.1</v>
      </c>
      <c r="Y14" s="231">
        <f t="shared" si="10"/>
        <v>101.26315789473685</v>
      </c>
      <c r="Z14" s="231">
        <f t="shared" si="11"/>
        <v>6.6000000000000227</v>
      </c>
      <c r="AA14" s="231">
        <v>373.6</v>
      </c>
      <c r="AB14" s="231">
        <v>384.7</v>
      </c>
      <c r="AC14" s="231">
        <f t="shared" si="12"/>
        <v>102.97109207708779</v>
      </c>
      <c r="AD14" s="232">
        <f t="shared" si="13"/>
        <v>11.099999999999966</v>
      </c>
      <c r="AE14" s="230">
        <f>166+3.8</f>
        <v>169.8</v>
      </c>
      <c r="AF14" s="231">
        <f>5.2+159.8</f>
        <v>165</v>
      </c>
      <c r="AG14" s="231">
        <f t="shared" si="14"/>
        <v>97.173144876325082</v>
      </c>
      <c r="AH14" s="231">
        <f t="shared" si="15"/>
        <v>-4.8000000000000114</v>
      </c>
      <c r="AI14" s="231"/>
      <c r="AJ14" s="231"/>
      <c r="AK14" s="231"/>
      <c r="AL14" s="232"/>
      <c r="AO14" s="51"/>
    </row>
    <row r="15" spans="1:41" ht="11.45" customHeight="1">
      <c r="A15" s="229">
        <v>6</v>
      </c>
      <c r="B15" s="105" t="s">
        <v>282</v>
      </c>
      <c r="C15" s="230">
        <f t="shared" si="0"/>
        <v>1450.1999999999998</v>
      </c>
      <c r="D15" s="231">
        <f t="shared" si="0"/>
        <v>1482.9</v>
      </c>
      <c r="E15" s="231">
        <f t="shared" si="1"/>
        <v>102.25486139842783</v>
      </c>
      <c r="F15" s="231">
        <f t="shared" si="2"/>
        <v>32.700000000000273</v>
      </c>
      <c r="G15" s="231">
        <f t="shared" si="3"/>
        <v>873.90000000000009</v>
      </c>
      <c r="H15" s="231">
        <f t="shared" si="3"/>
        <v>942.2</v>
      </c>
      <c r="I15" s="231">
        <f t="shared" si="4"/>
        <v>107.81553953541594</v>
      </c>
      <c r="J15" s="232">
        <f t="shared" si="5"/>
        <v>68.299999999999955</v>
      </c>
      <c r="K15" s="230">
        <v>879.4</v>
      </c>
      <c r="L15" s="231">
        <v>888.7</v>
      </c>
      <c r="M15" s="231">
        <f t="shared" si="6"/>
        <v>101.05753923129409</v>
      </c>
      <c r="N15" s="231">
        <f t="shared" si="7"/>
        <v>9.3000000000000682</v>
      </c>
      <c r="O15" s="231">
        <v>546.1</v>
      </c>
      <c r="P15" s="231">
        <v>598</v>
      </c>
      <c r="Q15" s="231">
        <f t="shared" si="8"/>
        <v>109.50375389122871</v>
      </c>
      <c r="R15" s="232">
        <f t="shared" si="9"/>
        <v>51.899999999999977</v>
      </c>
      <c r="S15" s="233"/>
      <c r="T15" s="231"/>
      <c r="U15" s="231"/>
      <c r="V15" s="234"/>
      <c r="W15" s="230">
        <v>452.7</v>
      </c>
      <c r="X15" s="231">
        <v>469.8</v>
      </c>
      <c r="Y15" s="231">
        <f t="shared" si="10"/>
        <v>103.77733598409544</v>
      </c>
      <c r="Z15" s="231">
        <f t="shared" si="11"/>
        <v>17.100000000000023</v>
      </c>
      <c r="AA15" s="231">
        <v>327.8</v>
      </c>
      <c r="AB15" s="231">
        <v>344.2</v>
      </c>
      <c r="AC15" s="231">
        <f t="shared" si="12"/>
        <v>105.00305064063453</v>
      </c>
      <c r="AD15" s="232">
        <f t="shared" si="13"/>
        <v>16.399999999999977</v>
      </c>
      <c r="AE15" s="230">
        <f>113.1+5</f>
        <v>118.1</v>
      </c>
      <c r="AF15" s="231">
        <f>6.3+118.1</f>
        <v>124.39999999999999</v>
      </c>
      <c r="AG15" s="231">
        <f t="shared" si="14"/>
        <v>105.33446232006773</v>
      </c>
      <c r="AH15" s="231">
        <f t="shared" si="15"/>
        <v>6.2999999999999972</v>
      </c>
      <c r="AI15" s="231"/>
      <c r="AJ15" s="231"/>
      <c r="AK15" s="231"/>
      <c r="AL15" s="232"/>
      <c r="AO15" s="51"/>
    </row>
    <row r="16" spans="1:41" ht="11.45" customHeight="1">
      <c r="A16" s="229">
        <v>7</v>
      </c>
      <c r="B16" s="106" t="s">
        <v>283</v>
      </c>
      <c r="C16" s="230">
        <f t="shared" si="0"/>
        <v>1326.4</v>
      </c>
      <c r="D16" s="231">
        <f t="shared" si="0"/>
        <v>1425.9</v>
      </c>
      <c r="E16" s="231">
        <f t="shared" si="1"/>
        <v>107.50150784077202</v>
      </c>
      <c r="F16" s="231">
        <f t="shared" si="2"/>
        <v>99.5</v>
      </c>
      <c r="G16" s="231">
        <f t="shared" si="3"/>
        <v>771.59999999999991</v>
      </c>
      <c r="H16" s="231">
        <f t="shared" si="3"/>
        <v>839.6</v>
      </c>
      <c r="I16" s="231">
        <f t="shared" si="4"/>
        <v>108.812856402281</v>
      </c>
      <c r="J16" s="232">
        <f t="shared" si="5"/>
        <v>68.000000000000114</v>
      </c>
      <c r="K16" s="230">
        <v>703.1</v>
      </c>
      <c r="L16" s="231">
        <v>752.6</v>
      </c>
      <c r="M16" s="231">
        <f t="shared" si="6"/>
        <v>107.04025032001138</v>
      </c>
      <c r="N16" s="231">
        <f t="shared" si="7"/>
        <v>49.5</v>
      </c>
      <c r="O16" s="231">
        <v>423.4</v>
      </c>
      <c r="P16" s="231">
        <v>475.6</v>
      </c>
      <c r="Q16" s="231">
        <f t="shared" si="8"/>
        <v>112.32876712328768</v>
      </c>
      <c r="R16" s="232">
        <f t="shared" si="9"/>
        <v>52.200000000000045</v>
      </c>
      <c r="S16" s="233"/>
      <c r="T16" s="231"/>
      <c r="U16" s="231"/>
      <c r="V16" s="234"/>
      <c r="W16" s="230">
        <v>479.6</v>
      </c>
      <c r="X16" s="231">
        <v>501.3</v>
      </c>
      <c r="Y16" s="231">
        <f t="shared" si="10"/>
        <v>104.52460383653045</v>
      </c>
      <c r="Z16" s="231">
        <f t="shared" si="11"/>
        <v>21.699999999999989</v>
      </c>
      <c r="AA16" s="231">
        <v>348.2</v>
      </c>
      <c r="AB16" s="231">
        <v>364</v>
      </c>
      <c r="AC16" s="231">
        <f t="shared" si="12"/>
        <v>104.53762205628949</v>
      </c>
      <c r="AD16" s="232">
        <f t="shared" si="13"/>
        <v>15.800000000000011</v>
      </c>
      <c r="AE16" s="230">
        <f>141.3+2.4</f>
        <v>143.70000000000002</v>
      </c>
      <c r="AF16" s="231">
        <f>1.9+170.1</f>
        <v>172</v>
      </c>
      <c r="AG16" s="231">
        <f t="shared" si="14"/>
        <v>119.69380654140569</v>
      </c>
      <c r="AH16" s="231">
        <f t="shared" si="15"/>
        <v>28.299999999999983</v>
      </c>
      <c r="AI16" s="231"/>
      <c r="AJ16" s="231"/>
      <c r="AK16" s="231"/>
      <c r="AL16" s="232"/>
      <c r="AO16" s="51"/>
    </row>
    <row r="17" spans="1:41" ht="11.45" customHeight="1">
      <c r="A17" s="229">
        <v>8</v>
      </c>
      <c r="B17" s="105" t="s">
        <v>284</v>
      </c>
      <c r="C17" s="230">
        <f t="shared" si="0"/>
        <v>865.1</v>
      </c>
      <c r="D17" s="231">
        <f t="shared" si="0"/>
        <v>926.6</v>
      </c>
      <c r="E17" s="231">
        <f t="shared" si="1"/>
        <v>107.10900473933648</v>
      </c>
      <c r="F17" s="231">
        <f t="shared" si="2"/>
        <v>61.5</v>
      </c>
      <c r="G17" s="231">
        <f t="shared" si="3"/>
        <v>529.20000000000005</v>
      </c>
      <c r="H17" s="231">
        <f t="shared" si="3"/>
        <v>598.6</v>
      </c>
      <c r="I17" s="231">
        <f t="shared" si="4"/>
        <v>113.11413454270595</v>
      </c>
      <c r="J17" s="232">
        <f t="shared" si="5"/>
        <v>69.399999999999977</v>
      </c>
      <c r="K17" s="230">
        <v>381.4</v>
      </c>
      <c r="L17" s="231">
        <v>400.8</v>
      </c>
      <c r="M17" s="231">
        <f t="shared" si="6"/>
        <v>105.08652333508128</v>
      </c>
      <c r="N17" s="231">
        <f t="shared" si="7"/>
        <v>19.400000000000034</v>
      </c>
      <c r="O17" s="231">
        <v>217.2</v>
      </c>
      <c r="P17" s="231">
        <v>251.1</v>
      </c>
      <c r="Q17" s="231">
        <f t="shared" si="8"/>
        <v>115.60773480662985</v>
      </c>
      <c r="R17" s="232">
        <f t="shared" si="9"/>
        <v>33.900000000000006</v>
      </c>
      <c r="S17" s="233"/>
      <c r="T17" s="231"/>
      <c r="U17" s="231"/>
      <c r="V17" s="234"/>
      <c r="W17" s="230">
        <v>430.6</v>
      </c>
      <c r="X17" s="231">
        <v>469.2</v>
      </c>
      <c r="Y17" s="231">
        <f t="shared" si="10"/>
        <v>108.96423594983742</v>
      </c>
      <c r="Z17" s="231">
        <f t="shared" si="11"/>
        <v>38.599999999999966</v>
      </c>
      <c r="AA17" s="231">
        <v>312</v>
      </c>
      <c r="AB17" s="231">
        <v>347.5</v>
      </c>
      <c r="AC17" s="231">
        <f t="shared" si="12"/>
        <v>111.37820512820514</v>
      </c>
      <c r="AD17" s="232">
        <f t="shared" si="13"/>
        <v>35.5</v>
      </c>
      <c r="AE17" s="230">
        <f>53+0.1</f>
        <v>53.1</v>
      </c>
      <c r="AF17" s="231">
        <v>56.6</v>
      </c>
      <c r="AG17" s="231">
        <f t="shared" si="14"/>
        <v>106.59133709981168</v>
      </c>
      <c r="AH17" s="231">
        <f t="shared" si="15"/>
        <v>3.5</v>
      </c>
      <c r="AI17" s="231"/>
      <c r="AJ17" s="231"/>
      <c r="AK17" s="231"/>
      <c r="AL17" s="232"/>
      <c r="AO17" s="51"/>
    </row>
    <row r="18" spans="1:41" ht="11.45" customHeight="1">
      <c r="A18" s="229">
        <v>9</v>
      </c>
      <c r="B18" s="105" t="s">
        <v>285</v>
      </c>
      <c r="C18" s="230">
        <f t="shared" si="0"/>
        <v>1037.0999999999999</v>
      </c>
      <c r="D18" s="231">
        <f t="shared" si="0"/>
        <v>1049.8</v>
      </c>
      <c r="E18" s="231">
        <f t="shared" si="1"/>
        <v>101.22456850834057</v>
      </c>
      <c r="F18" s="231">
        <f t="shared" si="2"/>
        <v>12.700000000000045</v>
      </c>
      <c r="G18" s="231">
        <f t="shared" si="3"/>
        <v>618.9</v>
      </c>
      <c r="H18" s="231">
        <f t="shared" si="3"/>
        <v>675.2</v>
      </c>
      <c r="I18" s="231">
        <f t="shared" si="4"/>
        <v>109.09678461787043</v>
      </c>
      <c r="J18" s="232">
        <f t="shared" si="5"/>
        <v>56.300000000000068</v>
      </c>
      <c r="K18" s="230">
        <v>462.6</v>
      </c>
      <c r="L18" s="231">
        <v>489.4</v>
      </c>
      <c r="M18" s="231">
        <f t="shared" si="6"/>
        <v>105.79334198011239</v>
      </c>
      <c r="N18" s="231">
        <f t="shared" si="7"/>
        <v>26.799999999999955</v>
      </c>
      <c r="O18" s="231">
        <v>272.89999999999998</v>
      </c>
      <c r="P18" s="231">
        <v>324.3</v>
      </c>
      <c r="Q18" s="231">
        <f t="shared" si="8"/>
        <v>118.83473799926713</v>
      </c>
      <c r="R18" s="232">
        <f t="shared" si="9"/>
        <v>51.400000000000034</v>
      </c>
      <c r="S18" s="233"/>
      <c r="T18" s="231"/>
      <c r="U18" s="231"/>
      <c r="V18" s="234"/>
      <c r="W18" s="230">
        <v>489.5</v>
      </c>
      <c r="X18" s="231">
        <v>476.4</v>
      </c>
      <c r="Y18" s="231">
        <f t="shared" si="10"/>
        <v>97.323799795709903</v>
      </c>
      <c r="Z18" s="231">
        <f t="shared" si="11"/>
        <v>-13.100000000000023</v>
      </c>
      <c r="AA18" s="231">
        <v>346</v>
      </c>
      <c r="AB18" s="231">
        <v>350.9</v>
      </c>
      <c r="AC18" s="231">
        <f t="shared" si="12"/>
        <v>101.41618497109826</v>
      </c>
      <c r="AD18" s="232">
        <f t="shared" si="13"/>
        <v>4.8999999999999773</v>
      </c>
      <c r="AE18" s="230">
        <f>84.4+0.6</f>
        <v>85</v>
      </c>
      <c r="AF18" s="231">
        <v>84</v>
      </c>
      <c r="AG18" s="231">
        <f t="shared" si="14"/>
        <v>98.82352941176471</v>
      </c>
      <c r="AH18" s="231">
        <f t="shared" si="15"/>
        <v>-1</v>
      </c>
      <c r="AI18" s="231"/>
      <c r="AJ18" s="231"/>
      <c r="AK18" s="231"/>
      <c r="AL18" s="232"/>
      <c r="AO18" s="51"/>
    </row>
    <row r="19" spans="1:41" ht="11.45" customHeight="1">
      <c r="A19" s="229">
        <v>10</v>
      </c>
      <c r="B19" s="105" t="s">
        <v>286</v>
      </c>
      <c r="C19" s="230">
        <f t="shared" si="0"/>
        <v>509.59999999999997</v>
      </c>
      <c r="D19" s="231">
        <f t="shared" si="0"/>
        <v>496.00000000000006</v>
      </c>
      <c r="E19" s="231">
        <f t="shared" si="1"/>
        <v>97.331240188383063</v>
      </c>
      <c r="F19" s="231">
        <f t="shared" si="2"/>
        <v>-13.599999999999909</v>
      </c>
      <c r="G19" s="231">
        <f t="shared" si="3"/>
        <v>313.7</v>
      </c>
      <c r="H19" s="231">
        <f t="shared" si="3"/>
        <v>336.4</v>
      </c>
      <c r="I19" s="231">
        <f t="shared" si="4"/>
        <v>107.23621294230156</v>
      </c>
      <c r="J19" s="232">
        <f t="shared" si="5"/>
        <v>22.699999999999989</v>
      </c>
      <c r="K19" s="230">
        <v>326.2</v>
      </c>
      <c r="L19" s="231">
        <v>304.10000000000002</v>
      </c>
      <c r="M19" s="231">
        <f t="shared" si="6"/>
        <v>93.225015328019637</v>
      </c>
      <c r="N19" s="231">
        <f t="shared" si="7"/>
        <v>-22.099999999999966</v>
      </c>
      <c r="O19" s="231">
        <v>199.9</v>
      </c>
      <c r="P19" s="231">
        <v>217.5</v>
      </c>
      <c r="Q19" s="231">
        <f t="shared" si="8"/>
        <v>108.80440220110054</v>
      </c>
      <c r="R19" s="232">
        <f t="shared" si="9"/>
        <v>17.599999999999994</v>
      </c>
      <c r="S19" s="233"/>
      <c r="T19" s="231"/>
      <c r="U19" s="231"/>
      <c r="V19" s="234"/>
      <c r="W19" s="230">
        <v>159.5</v>
      </c>
      <c r="X19" s="231">
        <v>162.6</v>
      </c>
      <c r="Y19" s="231">
        <f t="shared" si="10"/>
        <v>101.94357366771159</v>
      </c>
      <c r="Z19" s="231">
        <f t="shared" si="11"/>
        <v>3.0999999999999943</v>
      </c>
      <c r="AA19" s="231">
        <v>113.8</v>
      </c>
      <c r="AB19" s="231">
        <v>118.9</v>
      </c>
      <c r="AC19" s="231">
        <f t="shared" si="12"/>
        <v>104.48154657293497</v>
      </c>
      <c r="AD19" s="232">
        <f t="shared" si="13"/>
        <v>5.1000000000000085</v>
      </c>
      <c r="AE19" s="230">
        <v>23.9</v>
      </c>
      <c r="AF19" s="231">
        <v>29.3</v>
      </c>
      <c r="AG19" s="231">
        <f t="shared" si="14"/>
        <v>122.59414225941423</v>
      </c>
      <c r="AH19" s="231">
        <f t="shared" si="15"/>
        <v>5.4000000000000021</v>
      </c>
      <c r="AI19" s="231"/>
      <c r="AJ19" s="231"/>
      <c r="AK19" s="231"/>
      <c r="AL19" s="232"/>
      <c r="AO19" s="51"/>
    </row>
    <row r="20" spans="1:41" ht="11.45" customHeight="1">
      <c r="A20" s="229">
        <v>11</v>
      </c>
      <c r="B20" s="105" t="s">
        <v>287</v>
      </c>
      <c r="C20" s="230">
        <f t="shared" si="0"/>
        <v>1311.5000000000002</v>
      </c>
      <c r="D20" s="231">
        <f t="shared" si="0"/>
        <v>1322</v>
      </c>
      <c r="E20" s="231">
        <f t="shared" si="1"/>
        <v>100.80060998856271</v>
      </c>
      <c r="F20" s="231">
        <f t="shared" si="2"/>
        <v>10.499999999999773</v>
      </c>
      <c r="G20" s="231">
        <f t="shared" si="3"/>
        <v>787.7</v>
      </c>
      <c r="H20" s="231">
        <f t="shared" si="3"/>
        <v>840.3</v>
      </c>
      <c r="I20" s="231">
        <f t="shared" si="4"/>
        <v>106.67766916338705</v>
      </c>
      <c r="J20" s="232">
        <f t="shared" si="5"/>
        <v>52.599999999999909</v>
      </c>
      <c r="K20" s="230">
        <v>538.20000000000005</v>
      </c>
      <c r="L20" s="231">
        <v>579.9</v>
      </c>
      <c r="M20" s="231">
        <f t="shared" si="6"/>
        <v>107.74804905239685</v>
      </c>
      <c r="N20" s="231">
        <f t="shared" si="7"/>
        <v>41.699999999999932</v>
      </c>
      <c r="O20" s="231">
        <v>310.8</v>
      </c>
      <c r="P20" s="231">
        <v>365.5</v>
      </c>
      <c r="Q20" s="231">
        <f t="shared" si="8"/>
        <v>117.5997425997426</v>
      </c>
      <c r="R20" s="232">
        <f t="shared" si="9"/>
        <v>54.699999999999989</v>
      </c>
      <c r="S20" s="233"/>
      <c r="T20" s="231"/>
      <c r="U20" s="231"/>
      <c r="V20" s="234"/>
      <c r="W20" s="230">
        <v>660.6</v>
      </c>
      <c r="X20" s="231">
        <v>645</v>
      </c>
      <c r="Y20" s="231">
        <f t="shared" si="10"/>
        <v>97.63851044504996</v>
      </c>
      <c r="Z20" s="231">
        <f t="shared" si="11"/>
        <v>-15.600000000000023</v>
      </c>
      <c r="AA20" s="231">
        <v>476.9</v>
      </c>
      <c r="AB20" s="231">
        <v>474.8</v>
      </c>
      <c r="AC20" s="231">
        <f t="shared" si="12"/>
        <v>99.559656112392545</v>
      </c>
      <c r="AD20" s="232">
        <f t="shared" si="13"/>
        <v>-2.0999999999999659</v>
      </c>
      <c r="AE20" s="230">
        <f>111.4+1.3</f>
        <v>112.7</v>
      </c>
      <c r="AF20" s="231">
        <f>1.5+95.6</f>
        <v>97.1</v>
      </c>
      <c r="AG20" s="231">
        <f t="shared" si="14"/>
        <v>86.157941437444535</v>
      </c>
      <c r="AH20" s="231">
        <f t="shared" si="15"/>
        <v>-15.600000000000009</v>
      </c>
      <c r="AI20" s="231"/>
      <c r="AJ20" s="231"/>
      <c r="AK20" s="231"/>
      <c r="AL20" s="232"/>
      <c r="AO20" s="51"/>
    </row>
    <row r="21" spans="1:41" ht="11.45" customHeight="1">
      <c r="A21" s="229">
        <v>12</v>
      </c>
      <c r="B21" s="107" t="s">
        <v>288</v>
      </c>
      <c r="C21" s="230">
        <f t="shared" si="0"/>
        <v>3979.3999999999996</v>
      </c>
      <c r="D21" s="231">
        <f t="shared" si="0"/>
        <v>3919.6</v>
      </c>
      <c r="E21" s="231">
        <f t="shared" si="1"/>
        <v>98.497260893602061</v>
      </c>
      <c r="F21" s="231">
        <f t="shared" si="2"/>
        <v>-59.799999999999727</v>
      </c>
      <c r="G21" s="231">
        <f t="shared" si="3"/>
        <v>2762.4</v>
      </c>
      <c r="H21" s="231">
        <f t="shared" si="3"/>
        <v>2705.2000000000003</v>
      </c>
      <c r="I21" s="231">
        <f t="shared" si="4"/>
        <v>97.929336808572259</v>
      </c>
      <c r="J21" s="232">
        <f t="shared" si="5"/>
        <v>-57.199999999999818</v>
      </c>
      <c r="K21" s="230">
        <v>643.29999999999995</v>
      </c>
      <c r="L21" s="231">
        <v>712</v>
      </c>
      <c r="M21" s="231">
        <f t="shared" si="6"/>
        <v>110.67930980879839</v>
      </c>
      <c r="N21" s="231">
        <f t="shared" si="7"/>
        <v>68.700000000000045</v>
      </c>
      <c r="O21" s="231">
        <v>354.5</v>
      </c>
      <c r="P21" s="231">
        <v>373.4</v>
      </c>
      <c r="Q21" s="231">
        <f t="shared" si="8"/>
        <v>105.33145275035261</v>
      </c>
      <c r="R21" s="232">
        <f t="shared" si="9"/>
        <v>18.899999999999977</v>
      </c>
      <c r="S21" s="233"/>
      <c r="T21" s="231"/>
      <c r="U21" s="231"/>
      <c r="V21" s="234"/>
      <c r="W21" s="230">
        <v>3252.9</v>
      </c>
      <c r="X21" s="231">
        <v>3139.9</v>
      </c>
      <c r="Y21" s="231">
        <f t="shared" si="10"/>
        <v>96.526176642380648</v>
      </c>
      <c r="Z21" s="231">
        <f t="shared" si="11"/>
        <v>-113</v>
      </c>
      <c r="AA21" s="231">
        <v>2407.9</v>
      </c>
      <c r="AB21" s="231">
        <v>2328.8000000000002</v>
      </c>
      <c r="AC21" s="231">
        <f t="shared" si="12"/>
        <v>96.714979857967535</v>
      </c>
      <c r="AD21" s="232">
        <f t="shared" si="13"/>
        <v>-79.099999999999909</v>
      </c>
      <c r="AE21" s="230">
        <f>63.5+19.7</f>
        <v>83.2</v>
      </c>
      <c r="AF21" s="231">
        <f>16.5+51.2</f>
        <v>67.7</v>
      </c>
      <c r="AG21" s="231">
        <f t="shared" si="14"/>
        <v>81.370192307692307</v>
      </c>
      <c r="AH21" s="231">
        <f t="shared" si="15"/>
        <v>-15.5</v>
      </c>
      <c r="AI21" s="231"/>
      <c r="AJ21" s="231">
        <v>3</v>
      </c>
      <c r="AK21" s="231"/>
      <c r="AL21" s="232">
        <f>+AJ21-AI21</f>
        <v>3</v>
      </c>
      <c r="AO21" s="51"/>
    </row>
    <row r="22" spans="1:41" ht="11.45" customHeight="1">
      <c r="A22" s="229">
        <v>13</v>
      </c>
      <c r="B22" s="105" t="s">
        <v>36</v>
      </c>
      <c r="C22" s="230">
        <f t="shared" si="0"/>
        <v>2776.9</v>
      </c>
      <c r="D22" s="231">
        <f t="shared" si="0"/>
        <v>2742.7000000000003</v>
      </c>
      <c r="E22" s="231">
        <f t="shared" si="1"/>
        <v>98.768410817818449</v>
      </c>
      <c r="F22" s="231">
        <f t="shared" si="2"/>
        <v>-34.199999999999818</v>
      </c>
      <c r="G22" s="231">
        <f t="shared" si="3"/>
        <v>1887.2</v>
      </c>
      <c r="H22" s="231">
        <f t="shared" si="3"/>
        <v>1906.2</v>
      </c>
      <c r="I22" s="231">
        <f t="shared" si="4"/>
        <v>101.00678253497244</v>
      </c>
      <c r="J22" s="232">
        <f t="shared" si="5"/>
        <v>19</v>
      </c>
      <c r="K22" s="230">
        <v>398.8</v>
      </c>
      <c r="L22" s="231">
        <v>430.3</v>
      </c>
      <c r="M22" s="231">
        <f t="shared" si="6"/>
        <v>107.89869608826478</v>
      </c>
      <c r="N22" s="231">
        <f t="shared" si="7"/>
        <v>31.5</v>
      </c>
      <c r="O22" s="231">
        <v>206.4</v>
      </c>
      <c r="P22" s="231">
        <v>228.4</v>
      </c>
      <c r="Q22" s="231">
        <f t="shared" si="8"/>
        <v>110.65891472868216</v>
      </c>
      <c r="R22" s="232">
        <f t="shared" si="9"/>
        <v>22</v>
      </c>
      <c r="S22" s="233"/>
      <c r="T22" s="231"/>
      <c r="U22" s="231"/>
      <c r="V22" s="234"/>
      <c r="W22" s="230">
        <v>2320.6</v>
      </c>
      <c r="X22" s="231">
        <v>2261.4</v>
      </c>
      <c r="Y22" s="231">
        <f t="shared" si="10"/>
        <v>97.448935620098254</v>
      </c>
      <c r="Z22" s="231">
        <f t="shared" si="11"/>
        <v>-59.199999999999818</v>
      </c>
      <c r="AA22" s="231">
        <v>1670.8</v>
      </c>
      <c r="AB22" s="231">
        <v>1677.8</v>
      </c>
      <c r="AC22" s="231">
        <f t="shared" si="12"/>
        <v>100.41896097677758</v>
      </c>
      <c r="AD22" s="232">
        <f t="shared" si="13"/>
        <v>7</v>
      </c>
      <c r="AE22" s="230">
        <v>57.5</v>
      </c>
      <c r="AF22" s="231">
        <v>51</v>
      </c>
      <c r="AG22" s="231">
        <f t="shared" si="14"/>
        <v>88.695652173913047</v>
      </c>
      <c r="AH22" s="231">
        <f t="shared" si="15"/>
        <v>-6.5</v>
      </c>
      <c r="AI22" s="231">
        <v>10</v>
      </c>
      <c r="AJ22" s="231"/>
      <c r="AK22" s="231"/>
      <c r="AL22" s="232">
        <f>+AJ22-AI22</f>
        <v>-10</v>
      </c>
      <c r="AO22" s="51"/>
    </row>
    <row r="23" spans="1:41" ht="11.45" customHeight="1">
      <c r="A23" s="229">
        <v>14</v>
      </c>
      <c r="B23" s="105" t="s">
        <v>289</v>
      </c>
      <c r="C23" s="230">
        <f t="shared" si="0"/>
        <v>2598.9</v>
      </c>
      <c r="D23" s="231">
        <f t="shared" si="0"/>
        <v>2752.5</v>
      </c>
      <c r="E23" s="231">
        <f t="shared" si="1"/>
        <v>105.91019277386586</v>
      </c>
      <c r="F23" s="231">
        <f t="shared" si="2"/>
        <v>153.59999999999991</v>
      </c>
      <c r="G23" s="231">
        <f t="shared" si="3"/>
        <v>1781.2</v>
      </c>
      <c r="H23" s="231">
        <f t="shared" si="3"/>
        <v>1807.8000000000002</v>
      </c>
      <c r="I23" s="231">
        <f t="shared" si="4"/>
        <v>101.49337525263869</v>
      </c>
      <c r="J23" s="232">
        <f t="shared" si="5"/>
        <v>26.600000000000136</v>
      </c>
      <c r="K23" s="230">
        <v>622.20000000000005</v>
      </c>
      <c r="L23" s="231">
        <v>782.9</v>
      </c>
      <c r="M23" s="231">
        <f t="shared" si="6"/>
        <v>125.82770813243329</v>
      </c>
      <c r="N23" s="231">
        <f t="shared" si="7"/>
        <v>160.69999999999993</v>
      </c>
      <c r="O23" s="231">
        <v>319.8</v>
      </c>
      <c r="P23" s="231">
        <v>374.6</v>
      </c>
      <c r="Q23" s="231">
        <f t="shared" si="8"/>
        <v>117.13570981863666</v>
      </c>
      <c r="R23" s="232">
        <f t="shared" si="9"/>
        <v>54.800000000000011</v>
      </c>
      <c r="S23" s="233"/>
      <c r="T23" s="231"/>
      <c r="U23" s="231"/>
      <c r="V23" s="234"/>
      <c r="W23" s="230">
        <v>1937.8</v>
      </c>
      <c r="X23" s="231">
        <v>1929.1</v>
      </c>
      <c r="Y23" s="231">
        <f t="shared" si="10"/>
        <v>99.55103725874703</v>
      </c>
      <c r="Z23" s="231">
        <f t="shared" si="11"/>
        <v>-8.7000000000000455</v>
      </c>
      <c r="AA23" s="231">
        <v>1459.9</v>
      </c>
      <c r="AB23" s="231">
        <v>1431.2</v>
      </c>
      <c r="AC23" s="231">
        <f t="shared" si="12"/>
        <v>98.034111925474349</v>
      </c>
      <c r="AD23" s="232">
        <f t="shared" si="13"/>
        <v>-28.700000000000045</v>
      </c>
      <c r="AE23" s="230">
        <f>33.6+1.5+3.8</f>
        <v>38.9</v>
      </c>
      <c r="AF23" s="231">
        <f>2.1+35+3.4</f>
        <v>40.5</v>
      </c>
      <c r="AG23" s="231">
        <f t="shared" si="14"/>
        <v>104.11311053984575</v>
      </c>
      <c r="AH23" s="231">
        <f t="shared" si="15"/>
        <v>1.6000000000000014</v>
      </c>
      <c r="AI23" s="231">
        <v>1.5</v>
      </c>
      <c r="AJ23" s="231">
        <v>2</v>
      </c>
      <c r="AK23" s="231">
        <f>+AJ23/AI23*100</f>
        <v>133.33333333333331</v>
      </c>
      <c r="AL23" s="232">
        <f>+AJ23-AI23</f>
        <v>0.5</v>
      </c>
      <c r="AO23" s="51"/>
    </row>
    <row r="24" spans="1:41" ht="11.45" customHeight="1">
      <c r="A24" s="229">
        <v>15</v>
      </c>
      <c r="B24" s="105" t="s">
        <v>290</v>
      </c>
      <c r="C24" s="230">
        <f t="shared" si="0"/>
        <v>2199.7999999999997</v>
      </c>
      <c r="D24" s="231">
        <f t="shared" si="0"/>
        <v>2111.6999999999998</v>
      </c>
      <c r="E24" s="231">
        <f t="shared" si="1"/>
        <v>95.995090462769355</v>
      </c>
      <c r="F24" s="231">
        <f t="shared" si="2"/>
        <v>-88.099999999999909</v>
      </c>
      <c r="G24" s="231">
        <f t="shared" si="3"/>
        <v>1507.6</v>
      </c>
      <c r="H24" s="231">
        <f t="shared" si="3"/>
        <v>1449.5</v>
      </c>
      <c r="I24" s="231">
        <f t="shared" si="4"/>
        <v>96.146192624038207</v>
      </c>
      <c r="J24" s="232">
        <f t="shared" si="5"/>
        <v>-58.099999999999909</v>
      </c>
      <c r="K24" s="230">
        <v>505.4</v>
      </c>
      <c r="L24" s="231">
        <v>525</v>
      </c>
      <c r="M24" s="231">
        <f t="shared" si="6"/>
        <v>103.87811634349032</v>
      </c>
      <c r="N24" s="231">
        <f t="shared" si="7"/>
        <v>19.600000000000023</v>
      </c>
      <c r="O24" s="231">
        <v>262</v>
      </c>
      <c r="P24" s="231">
        <v>293.39999999999998</v>
      </c>
      <c r="Q24" s="231">
        <f t="shared" si="8"/>
        <v>111.98473282442747</v>
      </c>
      <c r="R24" s="232">
        <f t="shared" si="9"/>
        <v>31.399999999999977</v>
      </c>
      <c r="S24" s="233"/>
      <c r="T24" s="231"/>
      <c r="U24" s="231"/>
      <c r="V24" s="234"/>
      <c r="W24" s="230">
        <v>1670.2</v>
      </c>
      <c r="X24" s="231">
        <v>1559</v>
      </c>
      <c r="Y24" s="231">
        <f t="shared" si="10"/>
        <v>93.342114716800381</v>
      </c>
      <c r="Z24" s="231">
        <f t="shared" si="11"/>
        <v>-111.20000000000005</v>
      </c>
      <c r="AA24" s="231">
        <v>1245.5999999999999</v>
      </c>
      <c r="AB24" s="231">
        <v>1156.0999999999999</v>
      </c>
      <c r="AC24" s="231">
        <f t="shared" si="12"/>
        <v>92.81470777135516</v>
      </c>
      <c r="AD24" s="232">
        <f t="shared" si="13"/>
        <v>-89.5</v>
      </c>
      <c r="AE24" s="230">
        <f>22.9+0.2+1.1</f>
        <v>24.2</v>
      </c>
      <c r="AF24" s="231">
        <f>2.1+24.3+1.3</f>
        <v>27.700000000000003</v>
      </c>
      <c r="AG24" s="231">
        <f t="shared" si="14"/>
        <v>114.46280991735537</v>
      </c>
      <c r="AH24" s="231">
        <f t="shared" si="15"/>
        <v>3.5000000000000036</v>
      </c>
      <c r="AI24" s="231"/>
      <c r="AJ24" s="231"/>
      <c r="AK24" s="231"/>
      <c r="AL24" s="232"/>
      <c r="AO24" s="51"/>
    </row>
    <row r="25" spans="1:41" ht="11.45" customHeight="1">
      <c r="A25" s="229">
        <v>16</v>
      </c>
      <c r="B25" s="105" t="s">
        <v>291</v>
      </c>
      <c r="C25" s="230">
        <f t="shared" si="0"/>
        <v>2958.5</v>
      </c>
      <c r="D25" s="231">
        <f t="shared" si="0"/>
        <v>2901.8999999999996</v>
      </c>
      <c r="E25" s="231">
        <f t="shared" si="1"/>
        <v>98.086868345445311</v>
      </c>
      <c r="F25" s="231">
        <f t="shared" si="2"/>
        <v>-56.600000000000364</v>
      </c>
      <c r="G25" s="231">
        <f t="shared" si="3"/>
        <v>1923.3</v>
      </c>
      <c r="H25" s="231">
        <f t="shared" si="3"/>
        <v>1978.4</v>
      </c>
      <c r="I25" s="231">
        <f t="shared" si="4"/>
        <v>102.86486767534966</v>
      </c>
      <c r="J25" s="232">
        <f t="shared" si="5"/>
        <v>55.100000000000136</v>
      </c>
      <c r="K25" s="230">
        <v>890.1</v>
      </c>
      <c r="L25" s="231">
        <v>924.2</v>
      </c>
      <c r="M25" s="231">
        <f t="shared" si="6"/>
        <v>103.83103022132345</v>
      </c>
      <c r="N25" s="231">
        <f t="shared" si="7"/>
        <v>34.100000000000023</v>
      </c>
      <c r="O25" s="231">
        <v>458.2</v>
      </c>
      <c r="P25" s="231">
        <v>550.70000000000005</v>
      </c>
      <c r="Q25" s="231">
        <f t="shared" si="8"/>
        <v>120.18769096464428</v>
      </c>
      <c r="R25" s="232">
        <f t="shared" si="9"/>
        <v>92.500000000000057</v>
      </c>
      <c r="S25" s="233"/>
      <c r="T25" s="231"/>
      <c r="U25" s="231"/>
      <c r="V25" s="234"/>
      <c r="W25" s="230">
        <v>2006.9</v>
      </c>
      <c r="X25" s="231">
        <v>1925.5</v>
      </c>
      <c r="Y25" s="231">
        <f t="shared" si="10"/>
        <v>95.943993223379337</v>
      </c>
      <c r="Z25" s="231">
        <f t="shared" si="11"/>
        <v>-81.400000000000091</v>
      </c>
      <c r="AA25" s="231">
        <v>1465.1</v>
      </c>
      <c r="AB25" s="231">
        <v>1427.7</v>
      </c>
      <c r="AC25" s="231">
        <f t="shared" si="12"/>
        <v>97.447273223670749</v>
      </c>
      <c r="AD25" s="232">
        <f t="shared" si="13"/>
        <v>-37.399999999999864</v>
      </c>
      <c r="AE25" s="230">
        <f>54.9+0.5+6.1</f>
        <v>61.5</v>
      </c>
      <c r="AF25" s="231">
        <f>0.5+47.5+4.2</f>
        <v>52.2</v>
      </c>
      <c r="AG25" s="231">
        <f t="shared" si="14"/>
        <v>84.878048780487816</v>
      </c>
      <c r="AH25" s="231">
        <f t="shared" si="15"/>
        <v>-9.2999999999999972</v>
      </c>
      <c r="AI25" s="231"/>
      <c r="AJ25" s="231"/>
      <c r="AK25" s="231"/>
      <c r="AL25" s="232"/>
      <c r="AO25" s="51"/>
    </row>
    <row r="26" spans="1:41" ht="11.45" customHeight="1">
      <c r="A26" s="229">
        <v>17</v>
      </c>
      <c r="B26" s="105" t="s">
        <v>292</v>
      </c>
      <c r="C26" s="230">
        <f t="shared" si="0"/>
        <v>2557.1</v>
      </c>
      <c r="D26" s="231">
        <f t="shared" si="0"/>
        <v>2519.9999999999995</v>
      </c>
      <c r="E26" s="231">
        <f t="shared" si="1"/>
        <v>98.549137695045147</v>
      </c>
      <c r="F26" s="231">
        <f t="shared" si="2"/>
        <v>-37.100000000000364</v>
      </c>
      <c r="G26" s="231">
        <f t="shared" ref="G26:H50" si="16">+O26+AA26+AI26</f>
        <v>1708.6999999999998</v>
      </c>
      <c r="H26" s="231">
        <f t="shared" si="16"/>
        <v>1700.1999999999998</v>
      </c>
      <c r="I26" s="231">
        <f t="shared" si="4"/>
        <v>99.502545795048874</v>
      </c>
      <c r="J26" s="232">
        <f t="shared" si="5"/>
        <v>-8.5</v>
      </c>
      <c r="K26" s="230">
        <v>532.29999999999995</v>
      </c>
      <c r="L26" s="231">
        <v>586.79999999999995</v>
      </c>
      <c r="M26" s="231">
        <f t="shared" si="6"/>
        <v>110.23858726282172</v>
      </c>
      <c r="N26" s="231">
        <f t="shared" si="7"/>
        <v>54.5</v>
      </c>
      <c r="O26" s="231">
        <v>256.60000000000002</v>
      </c>
      <c r="P26" s="231">
        <v>293.89999999999998</v>
      </c>
      <c r="Q26" s="231">
        <f t="shared" si="8"/>
        <v>114.53624318004674</v>
      </c>
      <c r="R26" s="232">
        <f t="shared" si="9"/>
        <v>37.299999999999955</v>
      </c>
      <c r="S26" s="233"/>
      <c r="T26" s="231"/>
      <c r="U26" s="231"/>
      <c r="V26" s="234"/>
      <c r="W26" s="230">
        <v>1994.7</v>
      </c>
      <c r="X26" s="231">
        <v>1897.6</v>
      </c>
      <c r="Y26" s="231">
        <f t="shared" si="10"/>
        <v>95.132100065172693</v>
      </c>
      <c r="Z26" s="231">
        <f t="shared" si="11"/>
        <v>-97.100000000000136</v>
      </c>
      <c r="AA26" s="231">
        <v>1452.1</v>
      </c>
      <c r="AB26" s="231">
        <v>1406.3</v>
      </c>
      <c r="AC26" s="231">
        <f t="shared" si="12"/>
        <v>96.845947248812067</v>
      </c>
      <c r="AD26" s="232">
        <f t="shared" si="13"/>
        <v>-45.799999999999955</v>
      </c>
      <c r="AE26" s="230">
        <f>27.7+0.1+2.3</f>
        <v>30.1</v>
      </c>
      <c r="AF26" s="231">
        <f>0.2+32.5+2.9</f>
        <v>35.6</v>
      </c>
      <c r="AG26" s="231">
        <f t="shared" si="14"/>
        <v>118.27242524916943</v>
      </c>
      <c r="AH26" s="231">
        <f t="shared" si="15"/>
        <v>5.5</v>
      </c>
      <c r="AI26" s="231"/>
      <c r="AJ26" s="231"/>
      <c r="AK26" s="231"/>
      <c r="AL26" s="232"/>
      <c r="AO26" s="51"/>
    </row>
    <row r="27" spans="1:41" ht="11.45" customHeight="1">
      <c r="A27" s="229">
        <v>18</v>
      </c>
      <c r="B27" s="107" t="s">
        <v>293</v>
      </c>
      <c r="C27" s="230">
        <f t="shared" si="0"/>
        <v>3484.2</v>
      </c>
      <c r="D27" s="231">
        <f t="shared" si="0"/>
        <v>3692.1</v>
      </c>
      <c r="E27" s="231">
        <f t="shared" si="1"/>
        <v>105.96693645600138</v>
      </c>
      <c r="F27" s="231">
        <f t="shared" si="2"/>
        <v>207.90000000000009</v>
      </c>
      <c r="G27" s="231">
        <f t="shared" si="16"/>
        <v>2429.1</v>
      </c>
      <c r="H27" s="231">
        <f t="shared" si="16"/>
        <v>2382.3000000000002</v>
      </c>
      <c r="I27" s="231">
        <f t="shared" si="4"/>
        <v>98.073360503890342</v>
      </c>
      <c r="J27" s="232">
        <f t="shared" si="5"/>
        <v>-46.799999999999727</v>
      </c>
      <c r="K27" s="230">
        <v>692.8</v>
      </c>
      <c r="L27" s="231">
        <v>1029.0999999999999</v>
      </c>
      <c r="M27" s="231">
        <f t="shared" si="6"/>
        <v>148.54214780600461</v>
      </c>
      <c r="N27" s="231">
        <f t="shared" si="7"/>
        <v>336.29999999999995</v>
      </c>
      <c r="O27" s="231">
        <v>366.9</v>
      </c>
      <c r="P27" s="231">
        <v>477.4</v>
      </c>
      <c r="Q27" s="231">
        <f t="shared" si="8"/>
        <v>130.11719814663397</v>
      </c>
      <c r="R27" s="232">
        <f t="shared" si="9"/>
        <v>110.5</v>
      </c>
      <c r="S27" s="233"/>
      <c r="T27" s="231"/>
      <c r="U27" s="231"/>
      <c r="V27" s="234"/>
      <c r="W27" s="230">
        <v>2743.2</v>
      </c>
      <c r="X27" s="231">
        <v>2578.5</v>
      </c>
      <c r="Y27" s="231">
        <f t="shared" si="10"/>
        <v>93.996062992125999</v>
      </c>
      <c r="Z27" s="231">
        <f t="shared" si="11"/>
        <v>-164.69999999999982</v>
      </c>
      <c r="AA27" s="231">
        <v>2062.1999999999998</v>
      </c>
      <c r="AB27" s="231">
        <v>1904.9</v>
      </c>
      <c r="AC27" s="231">
        <f t="shared" si="12"/>
        <v>92.372223838618964</v>
      </c>
      <c r="AD27" s="232">
        <f t="shared" si="13"/>
        <v>-157.29999999999973</v>
      </c>
      <c r="AE27" s="230">
        <f>33.5+13.4+1.3</f>
        <v>48.199999999999996</v>
      </c>
      <c r="AF27" s="231">
        <f>7.9+75.3+1.3</f>
        <v>84.5</v>
      </c>
      <c r="AG27" s="231">
        <f t="shared" si="14"/>
        <v>175.31120331950208</v>
      </c>
      <c r="AH27" s="231">
        <f t="shared" si="15"/>
        <v>36.300000000000004</v>
      </c>
      <c r="AI27" s="231"/>
      <c r="AJ27" s="231"/>
      <c r="AK27" s="231"/>
      <c r="AL27" s="232"/>
      <c r="AO27" s="51"/>
    </row>
    <row r="28" spans="1:41" ht="11.45" customHeight="1">
      <c r="A28" s="229">
        <v>19</v>
      </c>
      <c r="B28" s="107" t="s">
        <v>294</v>
      </c>
      <c r="C28" s="230">
        <f t="shared" si="0"/>
        <v>4060.1000000000004</v>
      </c>
      <c r="D28" s="231">
        <f t="shared" si="0"/>
        <v>4049.4</v>
      </c>
      <c r="E28" s="231">
        <f t="shared" si="1"/>
        <v>99.736459693111001</v>
      </c>
      <c r="F28" s="231">
        <f t="shared" si="2"/>
        <v>-10.700000000000273</v>
      </c>
      <c r="G28" s="231">
        <f t="shared" si="16"/>
        <v>2772.4</v>
      </c>
      <c r="H28" s="231">
        <f t="shared" si="16"/>
        <v>2766.3</v>
      </c>
      <c r="I28" s="231">
        <f t="shared" si="4"/>
        <v>99.779974029721544</v>
      </c>
      <c r="J28" s="232">
        <f t="shared" si="5"/>
        <v>-6.0999999999999091</v>
      </c>
      <c r="K28" s="230">
        <v>604.29999999999995</v>
      </c>
      <c r="L28" s="231">
        <v>717.6</v>
      </c>
      <c r="M28" s="231">
        <f t="shared" si="6"/>
        <v>118.74896574549065</v>
      </c>
      <c r="N28" s="231">
        <f t="shared" si="7"/>
        <v>113.30000000000007</v>
      </c>
      <c r="O28" s="231">
        <v>320.5</v>
      </c>
      <c r="P28" s="231">
        <v>344.4</v>
      </c>
      <c r="Q28" s="231">
        <f t="shared" si="8"/>
        <v>107.45709828393134</v>
      </c>
      <c r="R28" s="232">
        <f t="shared" si="9"/>
        <v>23.899999999999977</v>
      </c>
      <c r="S28" s="233"/>
      <c r="T28" s="231"/>
      <c r="U28" s="231"/>
      <c r="V28" s="234"/>
      <c r="W28" s="230">
        <v>3408.8</v>
      </c>
      <c r="X28" s="231">
        <v>3283.3</v>
      </c>
      <c r="Y28" s="231">
        <f t="shared" si="10"/>
        <v>96.31835249941328</v>
      </c>
      <c r="Z28" s="231">
        <f t="shared" si="11"/>
        <v>-125.5</v>
      </c>
      <c r="AA28" s="231">
        <v>2451.9</v>
      </c>
      <c r="AB28" s="231">
        <v>2421.9</v>
      </c>
      <c r="AC28" s="231">
        <f t="shared" si="12"/>
        <v>98.77645907255598</v>
      </c>
      <c r="AD28" s="232">
        <f t="shared" si="13"/>
        <v>-30</v>
      </c>
      <c r="AE28" s="230">
        <f>34.5+11+1.5</f>
        <v>47</v>
      </c>
      <c r="AF28" s="231">
        <f>10+35.8+2.7</f>
        <v>48.5</v>
      </c>
      <c r="AG28" s="231">
        <f t="shared" si="14"/>
        <v>103.19148936170212</v>
      </c>
      <c r="AH28" s="231">
        <f t="shared" si="15"/>
        <v>1.5</v>
      </c>
      <c r="AI28" s="231"/>
      <c r="AJ28" s="231"/>
      <c r="AK28" s="231"/>
      <c r="AL28" s="232"/>
      <c r="AO28" s="51"/>
    </row>
    <row r="29" spans="1:41" ht="11.45" customHeight="1">
      <c r="A29" s="229">
        <v>20</v>
      </c>
      <c r="B29" s="105" t="s">
        <v>295</v>
      </c>
      <c r="C29" s="230">
        <f t="shared" si="0"/>
        <v>4758.8999999999996</v>
      </c>
      <c r="D29" s="231">
        <f t="shared" si="0"/>
        <v>4166.3</v>
      </c>
      <c r="E29" s="231">
        <f t="shared" si="1"/>
        <v>87.547542499317075</v>
      </c>
      <c r="F29" s="231">
        <f t="shared" si="2"/>
        <v>-592.59999999999945</v>
      </c>
      <c r="G29" s="231">
        <f t="shared" si="16"/>
        <v>3140.8</v>
      </c>
      <c r="H29" s="231">
        <f t="shared" si="16"/>
        <v>2805.2</v>
      </c>
      <c r="I29" s="231">
        <f t="shared" si="4"/>
        <v>89.314824248599066</v>
      </c>
      <c r="J29" s="232">
        <f t="shared" si="5"/>
        <v>-335.60000000000036</v>
      </c>
      <c r="K29" s="230">
        <f>823.8+118.9+153.2+162</f>
        <v>1257.8999999999999</v>
      </c>
      <c r="L29" s="231">
        <v>1056.0999999999999</v>
      </c>
      <c r="M29" s="231">
        <f t="shared" si="6"/>
        <v>83.957389299626357</v>
      </c>
      <c r="N29" s="231">
        <f t="shared" si="7"/>
        <v>-201.79999999999995</v>
      </c>
      <c r="O29" s="231">
        <f>365.7+67.4+84.4+96.3</f>
        <v>613.79999999999995</v>
      </c>
      <c r="P29" s="231">
        <v>579</v>
      </c>
      <c r="Q29" s="231">
        <f t="shared" si="8"/>
        <v>94.330400782013697</v>
      </c>
      <c r="R29" s="232">
        <f t="shared" si="9"/>
        <v>-34.799999999999955</v>
      </c>
      <c r="S29" s="233"/>
      <c r="T29" s="231"/>
      <c r="U29" s="231"/>
      <c r="V29" s="234"/>
      <c r="W29" s="230">
        <f>71+2570.1+419.1+358.4</f>
        <v>3418.6</v>
      </c>
      <c r="X29" s="231">
        <v>3004.6</v>
      </c>
      <c r="Y29" s="231">
        <f t="shared" si="10"/>
        <v>87.889779441876797</v>
      </c>
      <c r="Z29" s="231">
        <f t="shared" si="11"/>
        <v>-414</v>
      </c>
      <c r="AA29" s="231">
        <f>1883.6+53.8+319.6+270</f>
        <v>2527</v>
      </c>
      <c r="AB29" s="231">
        <v>2226.1999999999998</v>
      </c>
      <c r="AC29" s="231">
        <f t="shared" si="12"/>
        <v>88.096557182429748</v>
      </c>
      <c r="AD29" s="232">
        <f t="shared" si="13"/>
        <v>-300.80000000000018</v>
      </c>
      <c r="AE29" s="230">
        <f>37.2+22.6+6.3+8.7+6.7+0.9</f>
        <v>82.40000000000002</v>
      </c>
      <c r="AF29" s="231">
        <f>21.3+67.3+17</f>
        <v>105.6</v>
      </c>
      <c r="AG29" s="231">
        <f t="shared" si="14"/>
        <v>128.15533980582521</v>
      </c>
      <c r="AH29" s="231">
        <f t="shared" si="15"/>
        <v>23.199999999999974</v>
      </c>
      <c r="AI29" s="231"/>
      <c r="AJ29" s="231"/>
      <c r="AK29" s="231"/>
      <c r="AL29" s="232"/>
      <c r="AO29" s="51"/>
    </row>
    <row r="30" spans="1:41" ht="11.45" customHeight="1">
      <c r="A30" s="229">
        <v>21</v>
      </c>
      <c r="B30" s="105" t="s">
        <v>296</v>
      </c>
      <c r="C30" s="230">
        <f t="shared" si="0"/>
        <v>1732.2</v>
      </c>
      <c r="D30" s="231">
        <f t="shared" si="0"/>
        <v>1612</v>
      </c>
      <c r="E30" s="231">
        <f t="shared" si="1"/>
        <v>93.060847477196631</v>
      </c>
      <c r="F30" s="231">
        <f t="shared" si="2"/>
        <v>-120.20000000000005</v>
      </c>
      <c r="G30" s="231">
        <f t="shared" si="16"/>
        <v>1068.3</v>
      </c>
      <c r="H30" s="231">
        <f t="shared" si="16"/>
        <v>953.19999999999993</v>
      </c>
      <c r="I30" s="231">
        <f t="shared" si="4"/>
        <v>89.225872882149204</v>
      </c>
      <c r="J30" s="232">
        <f t="shared" si="5"/>
        <v>-115.10000000000002</v>
      </c>
      <c r="K30" s="230">
        <v>511.8</v>
      </c>
      <c r="L30" s="231">
        <v>536</v>
      </c>
      <c r="M30" s="231">
        <f t="shared" si="6"/>
        <v>104.7284095349746</v>
      </c>
      <c r="N30" s="231">
        <f t="shared" si="7"/>
        <v>24.199999999999989</v>
      </c>
      <c r="O30" s="231">
        <v>231.2</v>
      </c>
      <c r="P30" s="231">
        <v>205.4</v>
      </c>
      <c r="Q30" s="231">
        <f t="shared" si="8"/>
        <v>88.840830449826996</v>
      </c>
      <c r="R30" s="232">
        <f t="shared" si="9"/>
        <v>-25.799999999999983</v>
      </c>
      <c r="S30" s="233"/>
      <c r="T30" s="231"/>
      <c r="U30" s="231"/>
      <c r="V30" s="234"/>
      <c r="W30" s="230">
        <v>1139.5</v>
      </c>
      <c r="X30" s="231">
        <v>1009.6</v>
      </c>
      <c r="Y30" s="231">
        <f t="shared" si="10"/>
        <v>88.600263273365513</v>
      </c>
      <c r="Z30" s="231">
        <f t="shared" si="11"/>
        <v>-129.89999999999998</v>
      </c>
      <c r="AA30" s="231">
        <v>837.1</v>
      </c>
      <c r="AB30" s="231">
        <v>747.8</v>
      </c>
      <c r="AC30" s="231">
        <f t="shared" si="12"/>
        <v>89.332218372954245</v>
      </c>
      <c r="AD30" s="232">
        <f t="shared" si="13"/>
        <v>-89.300000000000068</v>
      </c>
      <c r="AE30" s="230">
        <f>79.6+1.3</f>
        <v>80.899999999999991</v>
      </c>
      <c r="AF30" s="231">
        <f>1+65.4</f>
        <v>66.400000000000006</v>
      </c>
      <c r="AG30" s="231">
        <f t="shared" si="14"/>
        <v>82.076637824474673</v>
      </c>
      <c r="AH30" s="231">
        <f t="shared" si="15"/>
        <v>-14.499999999999986</v>
      </c>
      <c r="AI30" s="231"/>
      <c r="AJ30" s="231"/>
      <c r="AK30" s="231"/>
      <c r="AL30" s="232"/>
      <c r="AO30" s="51"/>
    </row>
    <row r="31" spans="1:41" ht="11.45" customHeight="1">
      <c r="A31" s="229">
        <v>22</v>
      </c>
      <c r="B31" s="105" t="s">
        <v>45</v>
      </c>
      <c r="C31" s="230">
        <f t="shared" si="0"/>
        <v>1135.1000000000001</v>
      </c>
      <c r="D31" s="231">
        <f t="shared" si="0"/>
        <v>1209.5</v>
      </c>
      <c r="E31" s="231">
        <f t="shared" si="1"/>
        <v>106.55448859131353</v>
      </c>
      <c r="F31" s="231">
        <f t="shared" si="2"/>
        <v>74.399999999999864</v>
      </c>
      <c r="G31" s="231">
        <f t="shared" si="16"/>
        <v>771.1</v>
      </c>
      <c r="H31" s="231">
        <f t="shared" si="16"/>
        <v>844.5</v>
      </c>
      <c r="I31" s="231">
        <f t="shared" si="4"/>
        <v>109.51886914797042</v>
      </c>
      <c r="J31" s="232">
        <f t="shared" si="5"/>
        <v>73.399999999999977</v>
      </c>
      <c r="K31" s="230">
        <v>346.7</v>
      </c>
      <c r="L31" s="231">
        <v>372</v>
      </c>
      <c r="M31" s="231">
        <f t="shared" si="6"/>
        <v>107.2973752523796</v>
      </c>
      <c r="N31" s="231">
        <f t="shared" si="7"/>
        <v>25.300000000000011</v>
      </c>
      <c r="O31" s="231">
        <v>199.1</v>
      </c>
      <c r="P31" s="231">
        <v>227.1</v>
      </c>
      <c r="Q31" s="231">
        <f t="shared" si="8"/>
        <v>114.06328478151681</v>
      </c>
      <c r="R31" s="232">
        <f t="shared" si="9"/>
        <v>28</v>
      </c>
      <c r="S31" s="233"/>
      <c r="T31" s="231"/>
      <c r="U31" s="231"/>
      <c r="V31" s="234"/>
      <c r="W31" s="230">
        <v>777.2</v>
      </c>
      <c r="X31" s="231">
        <v>828</v>
      </c>
      <c r="Y31" s="231">
        <f>+X31/W31*100</f>
        <v>106.5362840967576</v>
      </c>
      <c r="Z31" s="231">
        <f t="shared" si="11"/>
        <v>50.799999999999955</v>
      </c>
      <c r="AA31" s="231">
        <v>572</v>
      </c>
      <c r="AB31" s="231">
        <v>617.4</v>
      </c>
      <c r="AC31" s="231">
        <f>+AB31/AA31*100</f>
        <v>107.93706293706293</v>
      </c>
      <c r="AD31" s="232">
        <f t="shared" si="13"/>
        <v>45.399999999999977</v>
      </c>
      <c r="AE31" s="230">
        <f>9.1+0.3+1.8</f>
        <v>11.200000000000001</v>
      </c>
      <c r="AF31" s="231">
        <f>0.6+6.7+2.2</f>
        <v>9.5</v>
      </c>
      <c r="AG31" s="231">
        <f t="shared" si="14"/>
        <v>84.821428571428555</v>
      </c>
      <c r="AH31" s="231">
        <f t="shared" si="15"/>
        <v>-1.7000000000000011</v>
      </c>
      <c r="AI31" s="231"/>
      <c r="AJ31" s="231"/>
      <c r="AK31" s="231"/>
      <c r="AL31" s="232"/>
      <c r="AO31" s="51"/>
    </row>
    <row r="32" spans="1:41" ht="11.45" customHeight="1">
      <c r="A32" s="229">
        <v>23</v>
      </c>
      <c r="B32" s="105" t="s">
        <v>297</v>
      </c>
      <c r="C32" s="230">
        <f t="shared" si="0"/>
        <v>1136</v>
      </c>
      <c r="D32" s="231">
        <f t="shared" si="0"/>
        <v>1051.1000000000001</v>
      </c>
      <c r="E32" s="231">
        <f t="shared" si="1"/>
        <v>92.526408450704238</v>
      </c>
      <c r="F32" s="231">
        <f t="shared" si="2"/>
        <v>-84.899999999999864</v>
      </c>
      <c r="G32" s="231">
        <f t="shared" si="16"/>
        <v>741.5</v>
      </c>
      <c r="H32" s="231">
        <f t="shared" si="16"/>
        <v>711.3</v>
      </c>
      <c r="I32" s="231">
        <f t="shared" si="4"/>
        <v>95.927174645987861</v>
      </c>
      <c r="J32" s="232">
        <f t="shared" si="5"/>
        <v>-30.200000000000045</v>
      </c>
      <c r="K32" s="230">
        <v>401.6</v>
      </c>
      <c r="L32" s="231">
        <v>375.4</v>
      </c>
      <c r="M32" s="231">
        <f t="shared" si="6"/>
        <v>93.476095617529865</v>
      </c>
      <c r="N32" s="231">
        <f t="shared" si="7"/>
        <v>-26.200000000000045</v>
      </c>
      <c r="O32" s="231">
        <v>201.2</v>
      </c>
      <c r="P32" s="231">
        <v>213.9</v>
      </c>
      <c r="Q32" s="231">
        <f t="shared" si="8"/>
        <v>106.31212723658052</v>
      </c>
      <c r="R32" s="232">
        <f t="shared" si="9"/>
        <v>12.700000000000017</v>
      </c>
      <c r="S32" s="233"/>
      <c r="T32" s="231"/>
      <c r="U32" s="231"/>
      <c r="V32" s="234"/>
      <c r="W32" s="230">
        <v>720.5</v>
      </c>
      <c r="X32" s="231">
        <v>664</v>
      </c>
      <c r="Y32" s="231">
        <f>+X32/W32*100</f>
        <v>92.158223455933381</v>
      </c>
      <c r="Z32" s="231">
        <f t="shared" si="11"/>
        <v>-56.5</v>
      </c>
      <c r="AA32" s="231">
        <v>540.29999999999995</v>
      </c>
      <c r="AB32" s="231">
        <v>497.4</v>
      </c>
      <c r="AC32" s="231">
        <f>+AB32/AA32*100</f>
        <v>92.059966685174913</v>
      </c>
      <c r="AD32" s="232">
        <f t="shared" si="13"/>
        <v>-42.899999999999977</v>
      </c>
      <c r="AE32" s="230">
        <f>13.8+0.1</f>
        <v>13.9</v>
      </c>
      <c r="AF32" s="231">
        <f>0.2+11.5</f>
        <v>11.7</v>
      </c>
      <c r="AG32" s="231">
        <f t="shared" si="14"/>
        <v>84.172661870503589</v>
      </c>
      <c r="AH32" s="231">
        <f t="shared" si="15"/>
        <v>-2.2000000000000011</v>
      </c>
      <c r="AI32" s="231"/>
      <c r="AJ32" s="231"/>
      <c r="AK32" s="231"/>
      <c r="AL32" s="232"/>
      <c r="AO32" s="51"/>
    </row>
    <row r="33" spans="1:41" ht="11.45" customHeight="1">
      <c r="A33" s="229">
        <v>24</v>
      </c>
      <c r="B33" s="105" t="s">
        <v>47</v>
      </c>
      <c r="C33" s="230">
        <f t="shared" si="0"/>
        <v>1807.5</v>
      </c>
      <c r="D33" s="231">
        <f t="shared" si="0"/>
        <v>1739.1</v>
      </c>
      <c r="E33" s="231">
        <f t="shared" si="1"/>
        <v>96.215767634854771</v>
      </c>
      <c r="F33" s="231">
        <f t="shared" si="2"/>
        <v>-68.400000000000091</v>
      </c>
      <c r="G33" s="231">
        <f t="shared" si="16"/>
        <v>1088.6999999999998</v>
      </c>
      <c r="H33" s="231">
        <f t="shared" si="16"/>
        <v>1073.8</v>
      </c>
      <c r="I33" s="231">
        <f t="shared" si="4"/>
        <v>98.6313952420318</v>
      </c>
      <c r="J33" s="232">
        <f t="shared" si="5"/>
        <v>-14.899999999999864</v>
      </c>
      <c r="K33" s="230">
        <f>538.3+221.6</f>
        <v>759.9</v>
      </c>
      <c r="L33" s="231">
        <v>717.3</v>
      </c>
      <c r="M33" s="231">
        <f t="shared" si="6"/>
        <v>94.393999210422422</v>
      </c>
      <c r="N33" s="231">
        <f t="shared" si="7"/>
        <v>-42.600000000000023</v>
      </c>
      <c r="O33" s="231">
        <f>252.7+135.3</f>
        <v>388</v>
      </c>
      <c r="P33" s="231">
        <v>369.3</v>
      </c>
      <c r="Q33" s="231">
        <f t="shared" si="8"/>
        <v>95.180412371134025</v>
      </c>
      <c r="R33" s="232">
        <f t="shared" si="9"/>
        <v>-18.699999999999989</v>
      </c>
      <c r="S33" s="233"/>
      <c r="T33" s="231"/>
      <c r="U33" s="231"/>
      <c r="V33" s="234"/>
      <c r="W33" s="230">
        <f>885.5+79.9</f>
        <v>965.4</v>
      </c>
      <c r="X33" s="231">
        <v>944.7</v>
      </c>
      <c r="Y33" s="231">
        <f t="shared" ref="Y33:Y45" si="17">+X33/W33*100</f>
        <v>97.85581106277192</v>
      </c>
      <c r="Z33" s="231">
        <f t="shared" si="11"/>
        <v>-20.699999999999932</v>
      </c>
      <c r="AA33" s="231">
        <f>640.8+59.3</f>
        <v>700.09999999999991</v>
      </c>
      <c r="AB33" s="231">
        <f>703</f>
        <v>703</v>
      </c>
      <c r="AC33" s="231">
        <f t="shared" ref="AC33:AC45" si="18">+AB33/AA33*100</f>
        <v>100.41422653906587</v>
      </c>
      <c r="AD33" s="232">
        <f t="shared" si="13"/>
        <v>2.9000000000000909</v>
      </c>
      <c r="AE33" s="230">
        <f>18+2+42.9+19.3</f>
        <v>82.2</v>
      </c>
      <c r="AF33" s="231">
        <f>2+18.1+57</f>
        <v>77.099999999999994</v>
      </c>
      <c r="AG33" s="231">
        <f t="shared" si="14"/>
        <v>93.795620437956188</v>
      </c>
      <c r="AH33" s="231">
        <f t="shared" si="15"/>
        <v>-5.1000000000000085</v>
      </c>
      <c r="AI33" s="231">
        <v>0.6</v>
      </c>
      <c r="AJ33" s="231">
        <v>1.5</v>
      </c>
      <c r="AK33" s="231" t="s">
        <v>298</v>
      </c>
      <c r="AL33" s="232">
        <f>+AJ33-AI33</f>
        <v>0.9</v>
      </c>
      <c r="AO33" s="51"/>
    </row>
    <row r="34" spans="1:41" ht="11.45" customHeight="1">
      <c r="A34" s="229">
        <v>25</v>
      </c>
      <c r="B34" s="105" t="s">
        <v>299</v>
      </c>
      <c r="C34" s="230">
        <f t="shared" si="0"/>
        <v>881</v>
      </c>
      <c r="D34" s="231">
        <f t="shared" si="0"/>
        <v>921.4</v>
      </c>
      <c r="E34" s="231">
        <f t="shared" si="1"/>
        <v>104.58569807037456</v>
      </c>
      <c r="F34" s="231">
        <f t="shared" si="2"/>
        <v>40.399999999999977</v>
      </c>
      <c r="G34" s="231">
        <f t="shared" si="16"/>
        <v>611.5</v>
      </c>
      <c r="H34" s="231">
        <f t="shared" si="16"/>
        <v>650.70000000000005</v>
      </c>
      <c r="I34" s="231">
        <f t="shared" si="4"/>
        <v>106.41046606704825</v>
      </c>
      <c r="J34" s="232">
        <f t="shared" si="5"/>
        <v>39.200000000000045</v>
      </c>
      <c r="K34" s="230">
        <v>231.9</v>
      </c>
      <c r="L34" s="231">
        <v>242</v>
      </c>
      <c r="M34" s="231">
        <f t="shared" si="6"/>
        <v>104.35532557136698</v>
      </c>
      <c r="N34" s="231">
        <f t="shared" si="7"/>
        <v>10.099999999999994</v>
      </c>
      <c r="O34" s="231">
        <v>128.69999999999999</v>
      </c>
      <c r="P34" s="231">
        <v>149.19999999999999</v>
      </c>
      <c r="Q34" s="231">
        <f t="shared" si="8"/>
        <v>115.92851592851594</v>
      </c>
      <c r="R34" s="232">
        <f t="shared" si="9"/>
        <v>20.5</v>
      </c>
      <c r="S34" s="233"/>
      <c r="T34" s="231"/>
      <c r="U34" s="231"/>
      <c r="V34" s="234"/>
      <c r="W34" s="230">
        <v>641.1</v>
      </c>
      <c r="X34" s="231">
        <v>671.1</v>
      </c>
      <c r="Y34" s="231">
        <f t="shared" si="17"/>
        <v>104.67945718296679</v>
      </c>
      <c r="Z34" s="231">
        <f t="shared" si="11"/>
        <v>30</v>
      </c>
      <c r="AA34" s="231">
        <v>482.8</v>
      </c>
      <c r="AB34" s="231">
        <v>501.5</v>
      </c>
      <c r="AC34" s="231">
        <f t="shared" si="18"/>
        <v>103.87323943661973</v>
      </c>
      <c r="AD34" s="232">
        <f t="shared" si="13"/>
        <v>18.699999999999989</v>
      </c>
      <c r="AE34" s="230">
        <f>7.9+0.1</f>
        <v>8</v>
      </c>
      <c r="AF34" s="231">
        <f>0.1+8.2</f>
        <v>8.2999999999999989</v>
      </c>
      <c r="AG34" s="231">
        <f t="shared" si="14"/>
        <v>103.74999999999999</v>
      </c>
      <c r="AH34" s="231">
        <f t="shared" si="15"/>
        <v>0.29999999999999893</v>
      </c>
      <c r="AI34" s="231"/>
      <c r="AJ34" s="231"/>
      <c r="AK34" s="231"/>
      <c r="AL34" s="232"/>
      <c r="AO34" s="51"/>
    </row>
    <row r="35" spans="1:41" ht="11.45" customHeight="1">
      <c r="A35" s="229">
        <v>26</v>
      </c>
      <c r="B35" s="105" t="s">
        <v>49</v>
      </c>
      <c r="C35" s="230">
        <f t="shared" si="0"/>
        <v>1015.9000000000001</v>
      </c>
      <c r="D35" s="231">
        <f t="shared" si="0"/>
        <v>948.5</v>
      </c>
      <c r="E35" s="231">
        <f t="shared" si="1"/>
        <v>93.365488729205623</v>
      </c>
      <c r="F35" s="231">
        <f t="shared" si="2"/>
        <v>-67.400000000000091</v>
      </c>
      <c r="G35" s="231">
        <f t="shared" si="16"/>
        <v>668.8</v>
      </c>
      <c r="H35" s="231">
        <f t="shared" si="16"/>
        <v>635.70000000000005</v>
      </c>
      <c r="I35" s="231">
        <f t="shared" si="4"/>
        <v>95.050837320574175</v>
      </c>
      <c r="J35" s="232">
        <f t="shared" si="5"/>
        <v>-33.099999999999909</v>
      </c>
      <c r="K35" s="230">
        <v>298.10000000000002</v>
      </c>
      <c r="L35" s="231">
        <v>322.3</v>
      </c>
      <c r="M35" s="231">
        <f t="shared" si="6"/>
        <v>108.11808118081181</v>
      </c>
      <c r="N35" s="231">
        <f t="shared" si="7"/>
        <v>24.199999999999989</v>
      </c>
      <c r="O35" s="231">
        <v>186.5</v>
      </c>
      <c r="P35" s="231">
        <v>192.5</v>
      </c>
      <c r="Q35" s="231">
        <f t="shared" si="8"/>
        <v>103.2171581769437</v>
      </c>
      <c r="R35" s="232">
        <f t="shared" si="9"/>
        <v>6</v>
      </c>
      <c r="S35" s="233"/>
      <c r="T35" s="231"/>
      <c r="U35" s="231"/>
      <c r="V35" s="234"/>
      <c r="W35" s="230">
        <v>673.7</v>
      </c>
      <c r="X35" s="231">
        <v>594</v>
      </c>
      <c r="Y35" s="231">
        <f t="shared" si="17"/>
        <v>88.169808520112809</v>
      </c>
      <c r="Z35" s="231">
        <f t="shared" si="11"/>
        <v>-79.700000000000045</v>
      </c>
      <c r="AA35" s="231">
        <v>482.3</v>
      </c>
      <c r="AB35" s="231">
        <v>443.2</v>
      </c>
      <c r="AC35" s="231">
        <f t="shared" si="18"/>
        <v>91.89301264772962</v>
      </c>
      <c r="AD35" s="232">
        <f t="shared" si="13"/>
        <v>-39.100000000000023</v>
      </c>
      <c r="AE35" s="230">
        <f>43.8+0.2+0.1</f>
        <v>44.1</v>
      </c>
      <c r="AF35" s="231">
        <f>0.2+31.9+0.1</f>
        <v>32.200000000000003</v>
      </c>
      <c r="AG35" s="231">
        <f t="shared" si="14"/>
        <v>73.015873015873026</v>
      </c>
      <c r="AH35" s="231">
        <f t="shared" si="15"/>
        <v>-11.899999999999999</v>
      </c>
      <c r="AI35" s="231"/>
      <c r="AJ35" s="231"/>
      <c r="AK35" s="231"/>
      <c r="AL35" s="232"/>
      <c r="AO35" s="51"/>
    </row>
    <row r="36" spans="1:41" ht="11.45" customHeight="1">
      <c r="A36" s="229">
        <v>27</v>
      </c>
      <c r="B36" s="105" t="s">
        <v>300</v>
      </c>
      <c r="C36" s="230">
        <f t="shared" si="0"/>
        <v>1104.3000000000002</v>
      </c>
      <c r="D36" s="231">
        <f t="shared" si="0"/>
        <v>1120.9000000000001</v>
      </c>
      <c r="E36" s="231">
        <f t="shared" si="1"/>
        <v>101.5032147061487</v>
      </c>
      <c r="F36" s="231">
        <f t="shared" si="2"/>
        <v>16.599999999999909</v>
      </c>
      <c r="G36" s="231">
        <f t="shared" si="16"/>
        <v>765.40000000000009</v>
      </c>
      <c r="H36" s="231">
        <f t="shared" si="16"/>
        <v>786.6</v>
      </c>
      <c r="I36" s="231">
        <f t="shared" si="4"/>
        <v>102.7697935719885</v>
      </c>
      <c r="J36" s="232">
        <f t="shared" si="5"/>
        <v>21.199999999999932</v>
      </c>
      <c r="K36" s="230">
        <v>316.3</v>
      </c>
      <c r="L36" s="231">
        <v>342.1</v>
      </c>
      <c r="M36" s="231">
        <f t="shared" si="6"/>
        <v>108.15681315207082</v>
      </c>
      <c r="N36" s="231">
        <f t="shared" si="7"/>
        <v>25.800000000000011</v>
      </c>
      <c r="O36" s="231">
        <v>189.8</v>
      </c>
      <c r="P36" s="231">
        <v>215.9</v>
      </c>
      <c r="Q36" s="231">
        <f t="shared" si="8"/>
        <v>113.75131717597471</v>
      </c>
      <c r="R36" s="232">
        <f t="shared" si="9"/>
        <v>26.099999999999994</v>
      </c>
      <c r="S36" s="233"/>
      <c r="T36" s="231"/>
      <c r="U36" s="231"/>
      <c r="V36" s="234"/>
      <c r="W36" s="230">
        <v>768.1</v>
      </c>
      <c r="X36" s="231">
        <v>763.7</v>
      </c>
      <c r="Y36" s="231">
        <f t="shared" si="17"/>
        <v>99.427157922145554</v>
      </c>
      <c r="Z36" s="231">
        <f t="shared" si="11"/>
        <v>-4.3999999999999773</v>
      </c>
      <c r="AA36" s="231">
        <v>575.6</v>
      </c>
      <c r="AB36" s="231">
        <v>570.70000000000005</v>
      </c>
      <c r="AC36" s="231">
        <f t="shared" si="18"/>
        <v>99.148714384989574</v>
      </c>
      <c r="AD36" s="232">
        <f t="shared" si="13"/>
        <v>-4.8999999999999773</v>
      </c>
      <c r="AE36" s="230">
        <f>19.5+0.4</f>
        <v>19.899999999999999</v>
      </c>
      <c r="AF36" s="231">
        <f>0.5+13.2+1.4</f>
        <v>15.1</v>
      </c>
      <c r="AG36" s="231">
        <f t="shared" si="14"/>
        <v>75.879396984924625</v>
      </c>
      <c r="AH36" s="231">
        <f t="shared" si="15"/>
        <v>-4.7999999999999989</v>
      </c>
      <c r="AI36" s="231"/>
      <c r="AJ36" s="231"/>
      <c r="AK36" s="231"/>
      <c r="AL36" s="232"/>
      <c r="AO36" s="51"/>
    </row>
    <row r="37" spans="1:41" ht="11.45" customHeight="1">
      <c r="A37" s="229">
        <v>28</v>
      </c>
      <c r="B37" s="105" t="s">
        <v>51</v>
      </c>
      <c r="C37" s="230">
        <f t="shared" ref="C37:D66" si="19">+K37+W37+AE37</f>
        <v>1082.0999999999999</v>
      </c>
      <c r="D37" s="231">
        <f t="shared" si="19"/>
        <v>1119.5</v>
      </c>
      <c r="E37" s="231">
        <f t="shared" si="1"/>
        <v>103.45624249145182</v>
      </c>
      <c r="F37" s="231">
        <f t="shared" si="2"/>
        <v>37.400000000000091</v>
      </c>
      <c r="G37" s="231">
        <f t="shared" si="16"/>
        <v>723.7</v>
      </c>
      <c r="H37" s="231">
        <f t="shared" si="16"/>
        <v>755.09999999999991</v>
      </c>
      <c r="I37" s="231">
        <f t="shared" si="4"/>
        <v>104.33881442586706</v>
      </c>
      <c r="J37" s="232">
        <f t="shared" si="5"/>
        <v>31.399999999999864</v>
      </c>
      <c r="K37" s="230">
        <v>302.60000000000002</v>
      </c>
      <c r="L37" s="231">
        <v>327.8</v>
      </c>
      <c r="M37" s="231">
        <f t="shared" si="6"/>
        <v>108.32782551222735</v>
      </c>
      <c r="N37" s="231">
        <f t="shared" si="7"/>
        <v>25.199999999999989</v>
      </c>
      <c r="O37" s="231">
        <v>152</v>
      </c>
      <c r="P37" s="231">
        <v>174.2</v>
      </c>
      <c r="Q37" s="231">
        <f t="shared" si="8"/>
        <v>114.60526315789473</v>
      </c>
      <c r="R37" s="232">
        <f t="shared" si="9"/>
        <v>22.199999999999989</v>
      </c>
      <c r="S37" s="233"/>
      <c r="T37" s="231"/>
      <c r="U37" s="231"/>
      <c r="V37" s="234"/>
      <c r="W37" s="230">
        <v>766</v>
      </c>
      <c r="X37" s="231">
        <v>780.5</v>
      </c>
      <c r="Y37" s="231">
        <f t="shared" si="17"/>
        <v>101.8929503916449</v>
      </c>
      <c r="Z37" s="231">
        <f t="shared" si="11"/>
        <v>14.5</v>
      </c>
      <c r="AA37" s="231">
        <v>571.70000000000005</v>
      </c>
      <c r="AB37" s="231">
        <v>580.9</v>
      </c>
      <c r="AC37" s="231">
        <f t="shared" si="18"/>
        <v>101.60923561308377</v>
      </c>
      <c r="AD37" s="232">
        <f t="shared" si="13"/>
        <v>9.1999999999999318</v>
      </c>
      <c r="AE37" s="230">
        <f>13.3+0.2</f>
        <v>13.5</v>
      </c>
      <c r="AF37" s="231">
        <f>0.1+11.1</f>
        <v>11.2</v>
      </c>
      <c r="AG37" s="231">
        <f t="shared" si="14"/>
        <v>82.962962962962962</v>
      </c>
      <c r="AH37" s="231">
        <f t="shared" si="15"/>
        <v>-2.3000000000000007</v>
      </c>
      <c r="AI37" s="231"/>
      <c r="AJ37" s="231"/>
      <c r="AK37" s="231"/>
      <c r="AL37" s="232"/>
      <c r="AO37" s="51"/>
    </row>
    <row r="38" spans="1:41" ht="11.45" customHeight="1">
      <c r="A38" s="229">
        <v>29</v>
      </c>
      <c r="B38" s="105" t="s">
        <v>301</v>
      </c>
      <c r="C38" s="230">
        <f t="shared" si="19"/>
        <v>991.7</v>
      </c>
      <c r="D38" s="231">
        <f t="shared" si="19"/>
        <v>677.2</v>
      </c>
      <c r="E38" s="231">
        <f t="shared" si="1"/>
        <v>68.286780276293229</v>
      </c>
      <c r="F38" s="231">
        <f t="shared" si="2"/>
        <v>-314.5</v>
      </c>
      <c r="G38" s="231">
        <f t="shared" si="16"/>
        <v>560</v>
      </c>
      <c r="H38" s="231">
        <f t="shared" si="16"/>
        <v>401.70000000000005</v>
      </c>
      <c r="I38" s="231">
        <f t="shared" si="4"/>
        <v>71.732142857142861</v>
      </c>
      <c r="J38" s="232">
        <f t="shared" si="5"/>
        <v>-158.29999999999995</v>
      </c>
      <c r="K38" s="230">
        <v>170.6</v>
      </c>
      <c r="L38" s="231">
        <v>180.5</v>
      </c>
      <c r="M38" s="231">
        <f t="shared" si="6"/>
        <v>105.80304806565064</v>
      </c>
      <c r="N38" s="231">
        <f t="shared" si="7"/>
        <v>9.9000000000000057</v>
      </c>
      <c r="O38" s="231">
        <v>76.900000000000006</v>
      </c>
      <c r="P38" s="231">
        <v>87.1</v>
      </c>
      <c r="Q38" s="231">
        <f t="shared" si="8"/>
        <v>113.2639791937581</v>
      </c>
      <c r="R38" s="232">
        <f t="shared" si="9"/>
        <v>10.199999999999989</v>
      </c>
      <c r="S38" s="233"/>
      <c r="T38" s="231"/>
      <c r="U38" s="231"/>
      <c r="V38" s="234"/>
      <c r="W38" s="230">
        <v>714.2</v>
      </c>
      <c r="X38" s="231">
        <v>378.2</v>
      </c>
      <c r="Y38" s="231">
        <f t="shared" si="17"/>
        <v>52.954354522542701</v>
      </c>
      <c r="Z38" s="231">
        <f t="shared" si="11"/>
        <v>-336.00000000000006</v>
      </c>
      <c r="AA38" s="231">
        <v>472.6</v>
      </c>
      <c r="AB38" s="231">
        <v>272.60000000000002</v>
      </c>
      <c r="AC38" s="231">
        <f t="shared" si="18"/>
        <v>57.680914092255605</v>
      </c>
      <c r="AD38" s="232">
        <f t="shared" si="13"/>
        <v>-200</v>
      </c>
      <c r="AE38" s="230">
        <v>106.9</v>
      </c>
      <c r="AF38" s="231">
        <v>118.5</v>
      </c>
      <c r="AG38" s="231">
        <f t="shared" si="14"/>
        <v>110.8512628624883</v>
      </c>
      <c r="AH38" s="231">
        <f t="shared" si="15"/>
        <v>11.599999999999994</v>
      </c>
      <c r="AI38" s="231">
        <v>10.5</v>
      </c>
      <c r="AJ38" s="231">
        <v>42</v>
      </c>
      <c r="AK38" s="231" t="s">
        <v>302</v>
      </c>
      <c r="AL38" s="232">
        <f>+AJ38-AI38</f>
        <v>31.5</v>
      </c>
      <c r="AO38" s="51"/>
    </row>
    <row r="39" spans="1:41" ht="11.45" customHeight="1">
      <c r="A39" s="229">
        <v>30</v>
      </c>
      <c r="B39" s="105" t="s">
        <v>53</v>
      </c>
      <c r="C39" s="230">
        <f t="shared" si="19"/>
        <v>3427.8</v>
      </c>
      <c r="D39" s="231">
        <f t="shared" si="19"/>
        <v>3558.8</v>
      </c>
      <c r="E39" s="231">
        <f t="shared" si="1"/>
        <v>103.82169321430655</v>
      </c>
      <c r="F39" s="231">
        <f t="shared" si="2"/>
        <v>131</v>
      </c>
      <c r="G39" s="231">
        <f t="shared" si="16"/>
        <v>2123.7999999999997</v>
      </c>
      <c r="H39" s="231">
        <f t="shared" si="16"/>
        <v>2283.6999999999998</v>
      </c>
      <c r="I39" s="231">
        <f t="shared" si="4"/>
        <v>107.52895752895752</v>
      </c>
      <c r="J39" s="232">
        <f t="shared" si="5"/>
        <v>159.90000000000009</v>
      </c>
      <c r="K39" s="230">
        <v>272.60000000000002</v>
      </c>
      <c r="L39" s="231">
        <v>320</v>
      </c>
      <c r="M39" s="231">
        <f t="shared" si="6"/>
        <v>117.38811445341157</v>
      </c>
      <c r="N39" s="231">
        <f t="shared" si="7"/>
        <v>47.399999999999977</v>
      </c>
      <c r="O39" s="231">
        <v>182.2</v>
      </c>
      <c r="P39" s="231">
        <v>222.5</v>
      </c>
      <c r="Q39" s="231">
        <f t="shared" si="8"/>
        <v>122.11855104281011</v>
      </c>
      <c r="R39" s="232">
        <f t="shared" si="9"/>
        <v>40.300000000000011</v>
      </c>
      <c r="S39" s="233"/>
      <c r="T39" s="231"/>
      <c r="U39" s="231"/>
      <c r="V39" s="234"/>
      <c r="W39" s="230">
        <f>1429.5+1663.9</f>
        <v>3093.4</v>
      </c>
      <c r="X39" s="231">
        <f>1343.7+1836.7</f>
        <v>3180.4</v>
      </c>
      <c r="Y39" s="231">
        <f t="shared" si="17"/>
        <v>102.81243938708218</v>
      </c>
      <c r="Z39" s="231">
        <f t="shared" si="11"/>
        <v>87</v>
      </c>
      <c r="AA39" s="231">
        <f>1060.5+881.1</f>
        <v>1941.6</v>
      </c>
      <c r="AB39" s="231">
        <f>1010.2+1051</f>
        <v>2061.1999999999998</v>
      </c>
      <c r="AC39" s="231">
        <f t="shared" si="18"/>
        <v>106.1598681499794</v>
      </c>
      <c r="AD39" s="232">
        <f t="shared" si="13"/>
        <v>119.59999999999991</v>
      </c>
      <c r="AE39" s="230">
        <f>20.6+41.2</f>
        <v>61.800000000000004</v>
      </c>
      <c r="AF39" s="231">
        <f>40+18.4</f>
        <v>58.4</v>
      </c>
      <c r="AG39" s="231">
        <f t="shared" si="14"/>
        <v>94.498381877022638</v>
      </c>
      <c r="AH39" s="231">
        <f t="shared" si="15"/>
        <v>-3.4000000000000057</v>
      </c>
      <c r="AI39" s="231"/>
      <c r="AJ39" s="231"/>
      <c r="AK39" s="231"/>
      <c r="AL39" s="232"/>
      <c r="AO39" s="51"/>
    </row>
    <row r="40" spans="1:41" ht="11.45" customHeight="1">
      <c r="A40" s="229">
        <v>31</v>
      </c>
      <c r="B40" s="105" t="s">
        <v>303</v>
      </c>
      <c r="C40" s="230">
        <f t="shared" si="19"/>
        <v>1628.7</v>
      </c>
      <c r="D40" s="231">
        <f t="shared" si="19"/>
        <v>1700.5</v>
      </c>
      <c r="E40" s="231">
        <f t="shared" si="1"/>
        <v>104.40842389635905</v>
      </c>
      <c r="F40" s="231">
        <f t="shared" si="2"/>
        <v>71.799999999999955</v>
      </c>
      <c r="G40" s="231">
        <f t="shared" si="16"/>
        <v>1124</v>
      </c>
      <c r="H40" s="231">
        <f t="shared" si="16"/>
        <v>1176.5</v>
      </c>
      <c r="I40" s="231">
        <f t="shared" si="4"/>
        <v>104.67081850533808</v>
      </c>
      <c r="J40" s="232">
        <f t="shared" si="5"/>
        <v>52.5</v>
      </c>
      <c r="K40" s="230">
        <v>410.3</v>
      </c>
      <c r="L40" s="231">
        <v>448.7</v>
      </c>
      <c r="M40" s="231">
        <f t="shared" si="6"/>
        <v>109.35900560565439</v>
      </c>
      <c r="N40" s="231">
        <f t="shared" si="7"/>
        <v>38.399999999999977</v>
      </c>
      <c r="O40" s="231">
        <v>249.8</v>
      </c>
      <c r="P40" s="231">
        <v>276.5</v>
      </c>
      <c r="Q40" s="231">
        <f t="shared" si="8"/>
        <v>110.68855084067253</v>
      </c>
      <c r="R40" s="232">
        <f t="shared" si="9"/>
        <v>26.699999999999989</v>
      </c>
      <c r="S40" s="233"/>
      <c r="T40" s="231"/>
      <c r="U40" s="231"/>
      <c r="V40" s="234"/>
      <c r="W40" s="230">
        <v>1137.5</v>
      </c>
      <c r="X40" s="231">
        <v>1201.2</v>
      </c>
      <c r="Y40" s="231">
        <f t="shared" si="17"/>
        <v>105.60000000000001</v>
      </c>
      <c r="Z40" s="231">
        <f t="shared" si="11"/>
        <v>63.700000000000045</v>
      </c>
      <c r="AA40" s="231">
        <v>844.4</v>
      </c>
      <c r="AB40" s="231">
        <v>900</v>
      </c>
      <c r="AC40" s="231">
        <f t="shared" si="18"/>
        <v>106.58455708195169</v>
      </c>
      <c r="AD40" s="232">
        <f t="shared" si="13"/>
        <v>55.600000000000023</v>
      </c>
      <c r="AE40" s="230">
        <f>78.8+2.1</f>
        <v>80.899999999999991</v>
      </c>
      <c r="AF40" s="231">
        <f>2.3+48.3</f>
        <v>50.599999999999994</v>
      </c>
      <c r="AG40" s="231">
        <f t="shared" si="14"/>
        <v>62.54635352286774</v>
      </c>
      <c r="AH40" s="231">
        <f t="shared" si="15"/>
        <v>-30.299999999999997</v>
      </c>
      <c r="AI40" s="231">
        <v>29.8</v>
      </c>
      <c r="AJ40" s="231"/>
      <c r="AK40" s="231"/>
      <c r="AL40" s="232">
        <f>+AJ40-AI40</f>
        <v>-29.8</v>
      </c>
      <c r="AO40" s="51"/>
    </row>
    <row r="41" spans="1:41" ht="11.45" customHeight="1">
      <c r="A41" s="229">
        <v>32</v>
      </c>
      <c r="B41" s="105" t="s">
        <v>55</v>
      </c>
      <c r="C41" s="230">
        <f t="shared" si="19"/>
        <v>500.40000000000003</v>
      </c>
      <c r="D41" s="231">
        <f t="shared" si="19"/>
        <v>509.5</v>
      </c>
      <c r="E41" s="231">
        <f t="shared" si="1"/>
        <v>101.8185451638689</v>
      </c>
      <c r="F41" s="231">
        <f t="shared" si="2"/>
        <v>9.0999999999999659</v>
      </c>
      <c r="G41" s="231">
        <f t="shared" si="16"/>
        <v>350.4</v>
      </c>
      <c r="H41" s="231">
        <f t="shared" si="16"/>
        <v>335.8</v>
      </c>
      <c r="I41" s="231">
        <f t="shared" si="4"/>
        <v>95.833333333333343</v>
      </c>
      <c r="J41" s="232">
        <f t="shared" si="5"/>
        <v>-14.599999999999966</v>
      </c>
      <c r="K41" s="230">
        <v>356.6</v>
      </c>
      <c r="L41" s="231">
        <v>354</v>
      </c>
      <c r="M41" s="231">
        <f t="shared" si="6"/>
        <v>99.270891755468298</v>
      </c>
      <c r="N41" s="231">
        <f t="shared" si="7"/>
        <v>-2.6000000000000227</v>
      </c>
      <c r="O41" s="231">
        <v>273.39999999999998</v>
      </c>
      <c r="P41" s="231">
        <v>278.7</v>
      </c>
      <c r="Q41" s="231">
        <f t="shared" si="8"/>
        <v>101.93855157278713</v>
      </c>
      <c r="R41" s="232">
        <f t="shared" si="9"/>
        <v>5.3000000000000114</v>
      </c>
      <c r="S41" s="233"/>
      <c r="T41" s="231"/>
      <c r="U41" s="231"/>
      <c r="V41" s="234"/>
      <c r="W41" s="230">
        <v>64</v>
      </c>
      <c r="X41" s="231">
        <v>66.900000000000006</v>
      </c>
      <c r="Y41" s="231">
        <f t="shared" si="17"/>
        <v>104.53125000000001</v>
      </c>
      <c r="Z41" s="231">
        <f t="shared" si="11"/>
        <v>2.9000000000000057</v>
      </c>
      <c r="AA41" s="231">
        <v>48.6</v>
      </c>
      <c r="AB41" s="231">
        <v>51.1</v>
      </c>
      <c r="AC41" s="231">
        <f t="shared" si="18"/>
        <v>105.14403292181069</v>
      </c>
      <c r="AD41" s="232">
        <f t="shared" si="13"/>
        <v>2.5</v>
      </c>
      <c r="AE41" s="230">
        <v>79.8</v>
      </c>
      <c r="AF41" s="231">
        <v>88.6</v>
      </c>
      <c r="AG41" s="231">
        <f t="shared" si="14"/>
        <v>111.02756892230576</v>
      </c>
      <c r="AH41" s="231">
        <f t="shared" si="15"/>
        <v>8.7999999999999972</v>
      </c>
      <c r="AI41" s="231">
        <v>28.4</v>
      </c>
      <c r="AJ41" s="231">
        <v>6</v>
      </c>
      <c r="AK41" s="231">
        <f>+AJ41/AI41*100</f>
        <v>21.126760563380284</v>
      </c>
      <c r="AL41" s="232">
        <f>+AJ41-AI41</f>
        <v>-22.4</v>
      </c>
      <c r="AO41" s="51"/>
    </row>
    <row r="42" spans="1:41" ht="11.45" customHeight="1">
      <c r="A42" s="229">
        <v>33</v>
      </c>
      <c r="B42" s="105" t="s">
        <v>56</v>
      </c>
      <c r="C42" s="230">
        <f t="shared" si="19"/>
        <v>764.5</v>
      </c>
      <c r="D42" s="231">
        <f t="shared" si="19"/>
        <v>735.5</v>
      </c>
      <c r="E42" s="231">
        <f t="shared" si="1"/>
        <v>96.206671026814917</v>
      </c>
      <c r="F42" s="231">
        <f t="shared" si="2"/>
        <v>-29</v>
      </c>
      <c r="G42" s="231">
        <f t="shared" si="16"/>
        <v>455.70000000000005</v>
      </c>
      <c r="H42" s="231">
        <f t="shared" si="16"/>
        <v>471.09999999999997</v>
      </c>
      <c r="I42" s="231">
        <f t="shared" si="4"/>
        <v>103.37941628264207</v>
      </c>
      <c r="J42" s="232">
        <f t="shared" si="5"/>
        <v>15.39999999999992</v>
      </c>
      <c r="K42" s="230">
        <v>497.5</v>
      </c>
      <c r="L42" s="231">
        <v>503.3</v>
      </c>
      <c r="M42" s="231">
        <f t="shared" si="6"/>
        <v>101.16582914572865</v>
      </c>
      <c r="N42" s="231">
        <f t="shared" si="7"/>
        <v>5.8000000000000114</v>
      </c>
      <c r="O42" s="231">
        <v>380</v>
      </c>
      <c r="P42" s="231">
        <v>396.2</v>
      </c>
      <c r="Q42" s="231">
        <f t="shared" si="8"/>
        <v>104.26315789473684</v>
      </c>
      <c r="R42" s="232">
        <f t="shared" si="9"/>
        <v>16.199999999999989</v>
      </c>
      <c r="S42" s="233"/>
      <c r="T42" s="231"/>
      <c r="U42" s="231"/>
      <c r="V42" s="234"/>
      <c r="W42" s="230">
        <v>68.3</v>
      </c>
      <c r="X42" s="231">
        <v>78.900000000000006</v>
      </c>
      <c r="Y42" s="231">
        <f t="shared" si="17"/>
        <v>115.51976573938506</v>
      </c>
      <c r="Z42" s="231">
        <f t="shared" si="11"/>
        <v>10.600000000000009</v>
      </c>
      <c r="AA42" s="231">
        <v>52.1</v>
      </c>
      <c r="AB42" s="231">
        <v>60.2</v>
      </c>
      <c r="AC42" s="231">
        <f t="shared" si="18"/>
        <v>115.54702495201536</v>
      </c>
      <c r="AD42" s="232">
        <f t="shared" si="13"/>
        <v>8.1000000000000014</v>
      </c>
      <c r="AE42" s="230">
        <f>190.3+8.4</f>
        <v>198.70000000000002</v>
      </c>
      <c r="AF42" s="231">
        <f>0.1+153.2</f>
        <v>153.29999999999998</v>
      </c>
      <c r="AG42" s="231">
        <f t="shared" si="14"/>
        <v>77.15148465022645</v>
      </c>
      <c r="AH42" s="231">
        <f t="shared" si="15"/>
        <v>-45.400000000000034</v>
      </c>
      <c r="AI42" s="231">
        <v>23.6</v>
      </c>
      <c r="AJ42" s="231">
        <v>14.7</v>
      </c>
      <c r="AK42" s="231">
        <f>+AJ42/AI42*100</f>
        <v>62.288135593220332</v>
      </c>
      <c r="AL42" s="232">
        <f>+AJ42-AI42</f>
        <v>-8.9000000000000021</v>
      </c>
      <c r="AO42" s="51"/>
    </row>
    <row r="43" spans="1:41" ht="11.45" customHeight="1">
      <c r="A43" s="229">
        <v>34</v>
      </c>
      <c r="B43" s="105" t="s">
        <v>304</v>
      </c>
      <c r="C43" s="230">
        <f t="shared" si="19"/>
        <v>2082.1</v>
      </c>
      <c r="D43" s="231">
        <f t="shared" si="19"/>
        <v>2085.1999999999998</v>
      </c>
      <c r="E43" s="231">
        <f t="shared" si="1"/>
        <v>100.14888814177993</v>
      </c>
      <c r="F43" s="231">
        <f t="shared" si="2"/>
        <v>3.0999999999999091</v>
      </c>
      <c r="G43" s="231">
        <f t="shared" si="16"/>
        <v>1485.4</v>
      </c>
      <c r="H43" s="231">
        <f t="shared" si="16"/>
        <v>1497.2</v>
      </c>
      <c r="I43" s="231">
        <f t="shared" si="4"/>
        <v>100.79439881513397</v>
      </c>
      <c r="J43" s="232">
        <f t="shared" si="5"/>
        <v>11.799999999999955</v>
      </c>
      <c r="K43" s="230">
        <v>1753.2</v>
      </c>
      <c r="L43" s="231">
        <v>1785.8</v>
      </c>
      <c r="M43" s="231">
        <f t="shared" si="6"/>
        <v>101.85945699292722</v>
      </c>
      <c r="N43" s="231">
        <f t="shared" si="7"/>
        <v>32.599999999999909</v>
      </c>
      <c r="O43" s="231">
        <v>1361.2</v>
      </c>
      <c r="P43" s="231">
        <v>1405.8</v>
      </c>
      <c r="Q43" s="231">
        <f t="shared" si="8"/>
        <v>103.27652071701439</v>
      </c>
      <c r="R43" s="232">
        <f t="shared" si="9"/>
        <v>44.599999999999909</v>
      </c>
      <c r="S43" s="233"/>
      <c r="T43" s="231"/>
      <c r="U43" s="231"/>
      <c r="V43" s="234"/>
      <c r="W43" s="230">
        <v>137.1</v>
      </c>
      <c r="X43" s="231">
        <v>119.7</v>
      </c>
      <c r="Y43" s="231">
        <f t="shared" si="17"/>
        <v>87.308533916849015</v>
      </c>
      <c r="Z43" s="231">
        <f t="shared" si="11"/>
        <v>-17.399999999999991</v>
      </c>
      <c r="AA43" s="231">
        <v>104.7</v>
      </c>
      <c r="AB43" s="231">
        <v>91.4</v>
      </c>
      <c r="AC43" s="231">
        <f t="shared" si="18"/>
        <v>87.297039159503342</v>
      </c>
      <c r="AD43" s="232">
        <f t="shared" si="13"/>
        <v>-13.299999999999997</v>
      </c>
      <c r="AE43" s="230">
        <f>175.6+16.2</f>
        <v>191.79999999999998</v>
      </c>
      <c r="AF43" s="231">
        <f>0.1+12.4+167.2</f>
        <v>179.7</v>
      </c>
      <c r="AG43" s="231">
        <f t="shared" si="14"/>
        <v>93.691345151199172</v>
      </c>
      <c r="AH43" s="231">
        <f t="shared" si="15"/>
        <v>-12.099999999999994</v>
      </c>
      <c r="AI43" s="231">
        <v>19.5</v>
      </c>
      <c r="AJ43" s="231"/>
      <c r="AK43" s="231"/>
      <c r="AL43" s="232">
        <f>+AJ43-AI43</f>
        <v>-19.5</v>
      </c>
      <c r="AO43" s="51"/>
    </row>
    <row r="44" spans="1:41" ht="11.45" customHeight="1">
      <c r="A44" s="229">
        <v>35</v>
      </c>
      <c r="B44" s="105" t="s">
        <v>58</v>
      </c>
      <c r="C44" s="230">
        <f t="shared" si="19"/>
        <v>1680.6999999999998</v>
      </c>
      <c r="D44" s="231">
        <f t="shared" si="19"/>
        <v>1494.7000000000003</v>
      </c>
      <c r="E44" s="231">
        <f t="shared" si="1"/>
        <v>88.933182602487079</v>
      </c>
      <c r="F44" s="231">
        <f t="shared" si="2"/>
        <v>-185.99999999999955</v>
      </c>
      <c r="G44" s="231">
        <f t="shared" si="16"/>
        <v>783.5</v>
      </c>
      <c r="H44" s="231">
        <f t="shared" si="16"/>
        <v>795.69999999999993</v>
      </c>
      <c r="I44" s="231">
        <f t="shared" si="4"/>
        <v>101.55711550733886</v>
      </c>
      <c r="J44" s="232">
        <f t="shared" si="5"/>
        <v>12.199999999999932</v>
      </c>
      <c r="K44" s="230">
        <v>1308.3</v>
      </c>
      <c r="L44" s="231">
        <v>1183.9000000000001</v>
      </c>
      <c r="M44" s="231">
        <f t="shared" si="6"/>
        <v>90.491477489872366</v>
      </c>
      <c r="N44" s="231">
        <f t="shared" si="7"/>
        <v>-124.39999999999986</v>
      </c>
      <c r="O44" s="231">
        <v>656.9</v>
      </c>
      <c r="P44" s="231">
        <f>636.8+46</f>
        <v>682.8</v>
      </c>
      <c r="Q44" s="231">
        <f t="shared" si="8"/>
        <v>103.94276145532044</v>
      </c>
      <c r="R44" s="232">
        <f t="shared" si="9"/>
        <v>25.899999999999977</v>
      </c>
      <c r="S44" s="233"/>
      <c r="T44" s="231"/>
      <c r="U44" s="231"/>
      <c r="V44" s="234"/>
      <c r="W44" s="230">
        <v>165.8</v>
      </c>
      <c r="X44" s="231">
        <v>147.9</v>
      </c>
      <c r="Y44" s="231">
        <f t="shared" si="17"/>
        <v>89.203860072376358</v>
      </c>
      <c r="Z44" s="231">
        <f t="shared" si="11"/>
        <v>-17.900000000000006</v>
      </c>
      <c r="AA44" s="231">
        <v>126.6</v>
      </c>
      <c r="AB44" s="231">
        <v>112.9</v>
      </c>
      <c r="AC44" s="231">
        <f t="shared" si="18"/>
        <v>89.178515007898909</v>
      </c>
      <c r="AD44" s="232">
        <f t="shared" si="13"/>
        <v>-13.699999999999989</v>
      </c>
      <c r="AE44" s="230">
        <f>146.5+25.1+35</f>
        <v>206.6</v>
      </c>
      <c r="AF44" s="231">
        <f>25.8+95.8+41.3</f>
        <v>162.89999999999998</v>
      </c>
      <c r="AG44" s="231">
        <f t="shared" si="14"/>
        <v>78.848015488867361</v>
      </c>
      <c r="AH44" s="231">
        <f t="shared" si="15"/>
        <v>-43.700000000000017</v>
      </c>
      <c r="AI44" s="231"/>
      <c r="AJ44" s="231"/>
      <c r="AK44" s="231"/>
      <c r="AL44" s="232"/>
      <c r="AO44" s="51"/>
    </row>
    <row r="45" spans="1:41" ht="11.45" customHeight="1">
      <c r="A45" s="229">
        <v>36</v>
      </c>
      <c r="B45" s="105" t="s">
        <v>305</v>
      </c>
      <c r="C45" s="230">
        <f t="shared" si="19"/>
        <v>651.09999999999991</v>
      </c>
      <c r="D45" s="231">
        <f t="shared" si="19"/>
        <v>610.20000000000005</v>
      </c>
      <c r="E45" s="231">
        <f t="shared" si="1"/>
        <v>93.718322838273721</v>
      </c>
      <c r="F45" s="231">
        <f t="shared" si="2"/>
        <v>-40.899999999999864</v>
      </c>
      <c r="G45" s="231">
        <f t="shared" si="16"/>
        <v>397.9</v>
      </c>
      <c r="H45" s="231">
        <f t="shared" si="16"/>
        <v>386.29999999999995</v>
      </c>
      <c r="I45" s="231">
        <f t="shared" si="4"/>
        <v>97.084694646896196</v>
      </c>
      <c r="J45" s="232">
        <f t="shared" si="5"/>
        <v>-11.600000000000023</v>
      </c>
      <c r="K45" s="230">
        <v>309.39999999999998</v>
      </c>
      <c r="L45" s="231">
        <v>292.10000000000002</v>
      </c>
      <c r="M45" s="231">
        <f t="shared" si="6"/>
        <v>94.408532643826774</v>
      </c>
      <c r="N45" s="231">
        <f t="shared" si="7"/>
        <v>-17.299999999999955</v>
      </c>
      <c r="O45" s="231">
        <v>209.3</v>
      </c>
      <c r="P45" s="231">
        <v>200.5</v>
      </c>
      <c r="Q45" s="231">
        <f t="shared" si="8"/>
        <v>95.795508838987104</v>
      </c>
      <c r="R45" s="232">
        <f t="shared" si="9"/>
        <v>-8.8000000000000114</v>
      </c>
      <c r="S45" s="233"/>
      <c r="T45" s="231"/>
      <c r="U45" s="231"/>
      <c r="V45" s="234"/>
      <c r="W45" s="230">
        <v>282.39999999999998</v>
      </c>
      <c r="X45" s="231">
        <f>203.3+40.1+26.2</f>
        <v>269.60000000000002</v>
      </c>
      <c r="Y45" s="231">
        <f t="shared" si="17"/>
        <v>95.467422096317307</v>
      </c>
      <c r="Z45" s="231">
        <f t="shared" si="11"/>
        <v>-12.799999999999955</v>
      </c>
      <c r="AA45" s="231">
        <v>188.6</v>
      </c>
      <c r="AB45" s="231">
        <f>155.2+30.6</f>
        <v>185.79999999999998</v>
      </c>
      <c r="AC45" s="231">
        <f t="shared" si="18"/>
        <v>98.515376458112399</v>
      </c>
      <c r="AD45" s="232">
        <f t="shared" si="13"/>
        <v>-2.8000000000000114</v>
      </c>
      <c r="AE45" s="230">
        <f>55.5+3.8</f>
        <v>59.3</v>
      </c>
      <c r="AF45" s="231">
        <f>3+45.5</f>
        <v>48.5</v>
      </c>
      <c r="AG45" s="231">
        <f t="shared" si="14"/>
        <v>81.787521079258013</v>
      </c>
      <c r="AH45" s="231">
        <f t="shared" si="15"/>
        <v>-10.799999999999997</v>
      </c>
      <c r="AI45" s="231"/>
      <c r="AJ45" s="231"/>
      <c r="AK45" s="231"/>
      <c r="AL45" s="232"/>
      <c r="AO45" s="51"/>
    </row>
    <row r="46" spans="1:41" ht="11.45" customHeight="1">
      <c r="A46" s="229">
        <v>37</v>
      </c>
      <c r="B46" s="105" t="s">
        <v>306</v>
      </c>
      <c r="C46" s="230">
        <f t="shared" si="19"/>
        <v>1081.7</v>
      </c>
      <c r="D46" s="231">
        <f t="shared" si="19"/>
        <v>1216.9000000000001</v>
      </c>
      <c r="E46" s="231">
        <f t="shared" si="1"/>
        <v>112.49884441157438</v>
      </c>
      <c r="F46" s="231">
        <f t="shared" si="2"/>
        <v>135.20000000000005</v>
      </c>
      <c r="G46" s="231">
        <f t="shared" si="16"/>
        <v>636.1</v>
      </c>
      <c r="H46" s="231">
        <f t="shared" si="16"/>
        <v>629.6</v>
      </c>
      <c r="I46" s="231">
        <f t="shared" si="4"/>
        <v>98.978148089922968</v>
      </c>
      <c r="J46" s="232">
        <f t="shared" si="5"/>
        <v>-6.5</v>
      </c>
      <c r="K46" s="230">
        <v>984.1</v>
      </c>
      <c r="L46" s="231">
        <v>1123.5</v>
      </c>
      <c r="M46" s="231">
        <f t="shared" si="6"/>
        <v>114.16522711106593</v>
      </c>
      <c r="N46" s="231">
        <f t="shared" si="7"/>
        <v>139.39999999999998</v>
      </c>
      <c r="O46" s="231">
        <v>636.1</v>
      </c>
      <c r="P46" s="231">
        <v>604.4</v>
      </c>
      <c r="Q46" s="231">
        <f t="shared" si="8"/>
        <v>95.016506838547386</v>
      </c>
      <c r="R46" s="232">
        <f t="shared" si="9"/>
        <v>-31.700000000000045</v>
      </c>
      <c r="S46" s="233"/>
      <c r="T46" s="231"/>
      <c r="U46" s="231"/>
      <c r="V46" s="234"/>
      <c r="W46" s="230"/>
      <c r="X46" s="231"/>
      <c r="Y46" s="231"/>
      <c r="Z46" s="231"/>
      <c r="AA46" s="231"/>
      <c r="AB46" s="231"/>
      <c r="AC46" s="231"/>
      <c r="AD46" s="232"/>
      <c r="AE46" s="230">
        <f>65.9+31.7</f>
        <v>97.600000000000009</v>
      </c>
      <c r="AF46" s="231">
        <f>31.7+61.7</f>
        <v>93.4</v>
      </c>
      <c r="AG46" s="231">
        <f t="shared" si="14"/>
        <v>95.696721311475414</v>
      </c>
      <c r="AH46" s="231">
        <f t="shared" si="15"/>
        <v>-4.2000000000000028</v>
      </c>
      <c r="AI46" s="231"/>
      <c r="AJ46" s="231">
        <v>25.2</v>
      </c>
      <c r="AK46" s="231"/>
      <c r="AL46" s="232">
        <f>+AJ46-AI46</f>
        <v>25.2</v>
      </c>
      <c r="AO46" s="51"/>
    </row>
    <row r="47" spans="1:41" ht="11.45" customHeight="1">
      <c r="A47" s="229">
        <v>38</v>
      </c>
      <c r="B47" s="105" t="s">
        <v>62</v>
      </c>
      <c r="C47" s="230">
        <f t="shared" si="19"/>
        <v>277.39999999999998</v>
      </c>
      <c r="D47" s="231">
        <f t="shared" si="19"/>
        <v>262.90000000000003</v>
      </c>
      <c r="E47" s="231">
        <f t="shared" si="1"/>
        <v>94.77289113193946</v>
      </c>
      <c r="F47" s="231">
        <f t="shared" si="2"/>
        <v>-14.499999999999943</v>
      </c>
      <c r="G47" s="231">
        <f t="shared" si="16"/>
        <v>178.7</v>
      </c>
      <c r="H47" s="231">
        <f t="shared" si="16"/>
        <v>189.4</v>
      </c>
      <c r="I47" s="231">
        <f t="shared" si="4"/>
        <v>105.98768886401793</v>
      </c>
      <c r="J47" s="232">
        <f t="shared" si="5"/>
        <v>10.700000000000017</v>
      </c>
      <c r="K47" s="230">
        <v>273.39999999999998</v>
      </c>
      <c r="L47" s="231">
        <v>260.8</v>
      </c>
      <c r="M47" s="231">
        <f t="shared" si="6"/>
        <v>95.391367959034383</v>
      </c>
      <c r="N47" s="231">
        <f t="shared" si="7"/>
        <v>-12.599999999999966</v>
      </c>
      <c r="O47" s="231">
        <v>178.7</v>
      </c>
      <c r="P47" s="231">
        <v>189.4</v>
      </c>
      <c r="Q47" s="231">
        <f t="shared" si="8"/>
        <v>105.98768886401793</v>
      </c>
      <c r="R47" s="232">
        <f t="shared" si="9"/>
        <v>10.700000000000017</v>
      </c>
      <c r="S47" s="233"/>
      <c r="T47" s="231"/>
      <c r="U47" s="231"/>
      <c r="V47" s="234"/>
      <c r="W47" s="230"/>
      <c r="X47" s="231"/>
      <c r="Y47" s="231"/>
      <c r="Z47" s="231"/>
      <c r="AA47" s="231"/>
      <c r="AB47" s="231"/>
      <c r="AC47" s="231"/>
      <c r="AD47" s="232"/>
      <c r="AE47" s="230">
        <v>4</v>
      </c>
      <c r="AF47" s="231">
        <v>2.1</v>
      </c>
      <c r="AG47" s="231">
        <f t="shared" si="14"/>
        <v>52.5</v>
      </c>
      <c r="AH47" s="231">
        <f t="shared" si="15"/>
        <v>-1.9</v>
      </c>
      <c r="AI47" s="231"/>
      <c r="AJ47" s="231"/>
      <c r="AK47" s="231"/>
      <c r="AL47" s="232"/>
      <c r="AO47" s="51"/>
    </row>
    <row r="48" spans="1:41" ht="11.45" customHeight="1">
      <c r="A48" s="229">
        <v>39</v>
      </c>
      <c r="B48" s="105" t="s">
        <v>63</v>
      </c>
      <c r="C48" s="230">
        <f t="shared" si="19"/>
        <v>179.1</v>
      </c>
      <c r="D48" s="231">
        <f t="shared" si="19"/>
        <v>167.79999999999998</v>
      </c>
      <c r="E48" s="231">
        <f t="shared" si="1"/>
        <v>93.690675600223329</v>
      </c>
      <c r="F48" s="231">
        <f t="shared" si="2"/>
        <v>-11.300000000000011</v>
      </c>
      <c r="G48" s="231">
        <f t="shared" si="16"/>
        <v>114.9</v>
      </c>
      <c r="H48" s="231">
        <f t="shared" si="16"/>
        <v>113.5</v>
      </c>
      <c r="I48" s="231">
        <f t="shared" si="4"/>
        <v>98.781549173194065</v>
      </c>
      <c r="J48" s="232">
        <f t="shared" si="5"/>
        <v>-1.4000000000000057</v>
      </c>
      <c r="K48" s="230">
        <v>173.7</v>
      </c>
      <c r="L48" s="231">
        <v>163.6</v>
      </c>
      <c r="M48" s="231">
        <f t="shared" si="6"/>
        <v>94.185377086931496</v>
      </c>
      <c r="N48" s="231">
        <f t="shared" si="7"/>
        <v>-10.099999999999994</v>
      </c>
      <c r="O48" s="231">
        <v>114.9</v>
      </c>
      <c r="P48" s="231">
        <v>113.5</v>
      </c>
      <c r="Q48" s="231">
        <f t="shared" si="8"/>
        <v>98.781549173194065</v>
      </c>
      <c r="R48" s="232">
        <f t="shared" si="9"/>
        <v>-1.4000000000000057</v>
      </c>
      <c r="S48" s="233"/>
      <c r="T48" s="231"/>
      <c r="U48" s="231"/>
      <c r="V48" s="234"/>
      <c r="W48" s="230"/>
      <c r="X48" s="231"/>
      <c r="Y48" s="231"/>
      <c r="Z48" s="231"/>
      <c r="AA48" s="231"/>
      <c r="AB48" s="231"/>
      <c r="AC48" s="231"/>
      <c r="AD48" s="232"/>
      <c r="AE48" s="230">
        <v>5.4</v>
      </c>
      <c r="AF48" s="231">
        <v>4.2</v>
      </c>
      <c r="AG48" s="231">
        <f t="shared" si="14"/>
        <v>77.777777777777786</v>
      </c>
      <c r="AH48" s="231">
        <f t="shared" si="15"/>
        <v>-1.2000000000000002</v>
      </c>
      <c r="AI48" s="231"/>
      <c r="AJ48" s="231"/>
      <c r="AK48" s="231"/>
      <c r="AL48" s="232"/>
      <c r="AO48" s="51"/>
    </row>
    <row r="49" spans="1:41" ht="11.45" customHeight="1">
      <c r="A49" s="229">
        <v>40</v>
      </c>
      <c r="B49" s="105" t="s">
        <v>64</v>
      </c>
      <c r="C49" s="230">
        <f t="shared" si="19"/>
        <v>210</v>
      </c>
      <c r="D49" s="231">
        <f t="shared" si="19"/>
        <v>194.6</v>
      </c>
      <c r="E49" s="231">
        <f t="shared" si="1"/>
        <v>92.666666666666657</v>
      </c>
      <c r="F49" s="231">
        <f t="shared" si="2"/>
        <v>-15.400000000000006</v>
      </c>
      <c r="G49" s="231">
        <f t="shared" si="16"/>
        <v>124.4</v>
      </c>
      <c r="H49" s="231">
        <f t="shared" si="16"/>
        <v>124.1</v>
      </c>
      <c r="I49" s="231">
        <f t="shared" si="4"/>
        <v>99.75884244372989</v>
      </c>
      <c r="J49" s="232">
        <f t="shared" si="5"/>
        <v>-0.30000000000001137</v>
      </c>
      <c r="K49" s="230">
        <v>209.2</v>
      </c>
      <c r="L49" s="231">
        <v>191.2</v>
      </c>
      <c r="M49" s="231">
        <f t="shared" si="6"/>
        <v>91.395793499043975</v>
      </c>
      <c r="N49" s="231">
        <f t="shared" si="7"/>
        <v>-18</v>
      </c>
      <c r="O49" s="231">
        <v>124.4</v>
      </c>
      <c r="P49" s="231">
        <v>124.1</v>
      </c>
      <c r="Q49" s="231">
        <f t="shared" si="8"/>
        <v>99.75884244372989</v>
      </c>
      <c r="R49" s="232">
        <f t="shared" si="9"/>
        <v>-0.30000000000001137</v>
      </c>
      <c r="S49" s="233"/>
      <c r="T49" s="231"/>
      <c r="U49" s="231"/>
      <c r="V49" s="234"/>
      <c r="W49" s="230"/>
      <c r="X49" s="231"/>
      <c r="Y49" s="231"/>
      <c r="Z49" s="231"/>
      <c r="AA49" s="231"/>
      <c r="AB49" s="231"/>
      <c r="AC49" s="231"/>
      <c r="AD49" s="232"/>
      <c r="AE49" s="230">
        <v>0.8</v>
      </c>
      <c r="AF49" s="231">
        <v>3.4</v>
      </c>
      <c r="AG49" s="231" t="s">
        <v>307</v>
      </c>
      <c r="AH49" s="231">
        <f t="shared" si="15"/>
        <v>2.5999999999999996</v>
      </c>
      <c r="AI49" s="231"/>
      <c r="AJ49" s="231"/>
      <c r="AK49" s="231"/>
      <c r="AL49" s="232"/>
      <c r="AO49" s="51"/>
    </row>
    <row r="50" spans="1:41" ht="11.45" customHeight="1">
      <c r="A50" s="229">
        <v>41</v>
      </c>
      <c r="B50" s="105" t="s">
        <v>65</v>
      </c>
      <c r="C50" s="230">
        <f t="shared" si="19"/>
        <v>134.30000000000001</v>
      </c>
      <c r="D50" s="231">
        <f t="shared" si="19"/>
        <v>130.1</v>
      </c>
      <c r="E50" s="231">
        <f t="shared" si="1"/>
        <v>96.872673119880844</v>
      </c>
      <c r="F50" s="231">
        <f t="shared" si="2"/>
        <v>-4.2000000000000171</v>
      </c>
      <c r="G50" s="231">
        <f t="shared" si="16"/>
        <v>91.4</v>
      </c>
      <c r="H50" s="231">
        <f t="shared" si="16"/>
        <v>91</v>
      </c>
      <c r="I50" s="231">
        <f t="shared" si="4"/>
        <v>99.562363238512035</v>
      </c>
      <c r="J50" s="232">
        <f t="shared" si="5"/>
        <v>-0.40000000000000568</v>
      </c>
      <c r="K50" s="230">
        <v>130.80000000000001</v>
      </c>
      <c r="L50" s="231">
        <v>127.1</v>
      </c>
      <c r="M50" s="231">
        <f t="shared" si="6"/>
        <v>97.17125382262995</v>
      </c>
      <c r="N50" s="231">
        <f t="shared" si="7"/>
        <v>-3.7000000000000171</v>
      </c>
      <c r="O50" s="231">
        <v>91.4</v>
      </c>
      <c r="P50" s="231">
        <v>91</v>
      </c>
      <c r="Q50" s="231">
        <f t="shared" si="8"/>
        <v>99.562363238512035</v>
      </c>
      <c r="R50" s="232">
        <f t="shared" si="9"/>
        <v>-0.40000000000000568</v>
      </c>
      <c r="S50" s="233"/>
      <c r="T50" s="231"/>
      <c r="U50" s="231"/>
      <c r="V50" s="234"/>
      <c r="W50" s="230"/>
      <c r="X50" s="231"/>
      <c r="Y50" s="231"/>
      <c r="Z50" s="231"/>
      <c r="AA50" s="231"/>
      <c r="AB50" s="231"/>
      <c r="AC50" s="231"/>
      <c r="AD50" s="232"/>
      <c r="AE50" s="230">
        <v>3.5</v>
      </c>
      <c r="AF50" s="231">
        <v>3</v>
      </c>
      <c r="AG50" s="231">
        <f t="shared" si="14"/>
        <v>85.714285714285708</v>
      </c>
      <c r="AH50" s="231">
        <f t="shared" si="15"/>
        <v>-0.5</v>
      </c>
      <c r="AI50" s="231"/>
      <c r="AJ50" s="231"/>
      <c r="AK50" s="231"/>
      <c r="AL50" s="232"/>
      <c r="AO50" s="51"/>
    </row>
    <row r="51" spans="1:41" ht="11.45" customHeight="1">
      <c r="A51" s="229">
        <v>42</v>
      </c>
      <c r="B51" s="105" t="s">
        <v>66</v>
      </c>
      <c r="C51" s="230">
        <f t="shared" si="19"/>
        <v>120.69999999999999</v>
      </c>
      <c r="D51" s="231">
        <f t="shared" si="19"/>
        <v>124.7</v>
      </c>
      <c r="E51" s="231">
        <f t="shared" si="1"/>
        <v>103.31400165700084</v>
      </c>
      <c r="F51" s="231">
        <f t="shared" si="2"/>
        <v>4.0000000000000142</v>
      </c>
      <c r="G51" s="231">
        <f t="shared" ref="G51:H73" si="20">+O51+AA51+AI51</f>
        <v>79.900000000000006</v>
      </c>
      <c r="H51" s="231">
        <f t="shared" si="20"/>
        <v>84</v>
      </c>
      <c r="I51" s="231">
        <f t="shared" si="4"/>
        <v>105.13141426783478</v>
      </c>
      <c r="J51" s="232">
        <f t="shared" si="5"/>
        <v>4.0999999999999943</v>
      </c>
      <c r="K51" s="230">
        <v>118.6</v>
      </c>
      <c r="L51" s="231">
        <v>122.9</v>
      </c>
      <c r="M51" s="231">
        <f t="shared" si="6"/>
        <v>103.62563237774032</v>
      </c>
      <c r="N51" s="231">
        <f t="shared" si="7"/>
        <v>4.3000000000000114</v>
      </c>
      <c r="O51" s="231">
        <v>79.900000000000006</v>
      </c>
      <c r="P51" s="231">
        <v>84</v>
      </c>
      <c r="Q51" s="231">
        <f t="shared" si="8"/>
        <v>105.13141426783478</v>
      </c>
      <c r="R51" s="232">
        <f t="shared" si="9"/>
        <v>4.0999999999999943</v>
      </c>
      <c r="S51" s="233"/>
      <c r="T51" s="231"/>
      <c r="U51" s="231"/>
      <c r="V51" s="234"/>
      <c r="W51" s="230"/>
      <c r="X51" s="231"/>
      <c r="Y51" s="231"/>
      <c r="Z51" s="231"/>
      <c r="AA51" s="231"/>
      <c r="AB51" s="231"/>
      <c r="AC51" s="231"/>
      <c r="AD51" s="232"/>
      <c r="AE51" s="230">
        <v>2.1</v>
      </c>
      <c r="AF51" s="231">
        <v>1.8</v>
      </c>
      <c r="AG51" s="231">
        <f t="shared" si="14"/>
        <v>85.714285714285708</v>
      </c>
      <c r="AH51" s="231">
        <f t="shared" si="15"/>
        <v>-0.30000000000000004</v>
      </c>
      <c r="AI51" s="231"/>
      <c r="AJ51" s="231"/>
      <c r="AK51" s="231"/>
      <c r="AL51" s="232"/>
      <c r="AO51" s="51"/>
    </row>
    <row r="52" spans="1:41" ht="11.45" customHeight="1">
      <c r="A52" s="229">
        <v>43</v>
      </c>
      <c r="B52" s="105" t="s">
        <v>308</v>
      </c>
      <c r="C52" s="230">
        <f t="shared" si="19"/>
        <v>1884.6</v>
      </c>
      <c r="D52" s="231">
        <f t="shared" si="19"/>
        <v>1489</v>
      </c>
      <c r="E52" s="231">
        <f t="shared" si="1"/>
        <v>79.008808235169269</v>
      </c>
      <c r="F52" s="231">
        <f t="shared" si="2"/>
        <v>-395.59999999999991</v>
      </c>
      <c r="G52" s="231">
        <f t="shared" si="20"/>
        <v>934.5</v>
      </c>
      <c r="H52" s="231">
        <f t="shared" si="20"/>
        <v>967</v>
      </c>
      <c r="I52" s="231">
        <f t="shared" si="4"/>
        <v>103.47779561262706</v>
      </c>
      <c r="J52" s="232">
        <f t="shared" si="5"/>
        <v>32.5</v>
      </c>
      <c r="K52" s="230">
        <v>1872.8</v>
      </c>
      <c r="L52" s="231">
        <v>1476.3</v>
      </c>
      <c r="M52" s="231">
        <f t="shared" si="6"/>
        <v>78.828492097394275</v>
      </c>
      <c r="N52" s="231">
        <f t="shared" si="7"/>
        <v>-396.5</v>
      </c>
      <c r="O52" s="231">
        <v>934.5</v>
      </c>
      <c r="P52" s="231">
        <v>967</v>
      </c>
      <c r="Q52" s="231">
        <f t="shared" si="8"/>
        <v>103.47779561262706</v>
      </c>
      <c r="R52" s="232">
        <f t="shared" si="9"/>
        <v>32.5</v>
      </c>
      <c r="S52" s="233"/>
      <c r="T52" s="231"/>
      <c r="U52" s="231"/>
      <c r="V52" s="234"/>
      <c r="W52" s="230"/>
      <c r="X52" s="231"/>
      <c r="Y52" s="231"/>
      <c r="Z52" s="231"/>
      <c r="AA52" s="231"/>
      <c r="AB52" s="231"/>
      <c r="AC52" s="231"/>
      <c r="AD52" s="232"/>
      <c r="AE52" s="230">
        <v>11.8</v>
      </c>
      <c r="AF52" s="231">
        <f>2.4+10.3</f>
        <v>12.700000000000001</v>
      </c>
      <c r="AG52" s="231">
        <f t="shared" si="14"/>
        <v>107.62711864406779</v>
      </c>
      <c r="AH52" s="231">
        <f t="shared" si="15"/>
        <v>0.90000000000000036</v>
      </c>
      <c r="AI52" s="231"/>
      <c r="AJ52" s="231"/>
      <c r="AK52" s="231"/>
      <c r="AL52" s="232"/>
      <c r="AO52" s="51"/>
    </row>
    <row r="53" spans="1:41" ht="11.45" customHeight="1">
      <c r="A53" s="229">
        <v>44</v>
      </c>
      <c r="B53" s="105" t="s">
        <v>68</v>
      </c>
      <c r="C53" s="230">
        <f t="shared" si="19"/>
        <v>637.70000000000005</v>
      </c>
      <c r="D53" s="231">
        <f t="shared" si="19"/>
        <v>699.2</v>
      </c>
      <c r="E53" s="231">
        <f t="shared" si="1"/>
        <v>109.64403324447231</v>
      </c>
      <c r="F53" s="231">
        <f t="shared" si="2"/>
        <v>61.5</v>
      </c>
      <c r="G53" s="231">
        <f t="shared" si="20"/>
        <v>377.5</v>
      </c>
      <c r="H53" s="231">
        <f t="shared" si="20"/>
        <v>378.8</v>
      </c>
      <c r="I53" s="231">
        <f t="shared" si="4"/>
        <v>100.34437086092716</v>
      </c>
      <c r="J53" s="232">
        <f t="shared" si="5"/>
        <v>1.3000000000000114</v>
      </c>
      <c r="K53" s="230">
        <v>581</v>
      </c>
      <c r="L53" s="231">
        <v>668.2</v>
      </c>
      <c r="M53" s="231">
        <f t="shared" si="6"/>
        <v>115.00860585197937</v>
      </c>
      <c r="N53" s="231">
        <f t="shared" si="7"/>
        <v>87.200000000000045</v>
      </c>
      <c r="O53" s="231">
        <v>377.5</v>
      </c>
      <c r="P53" s="231">
        <v>378.8</v>
      </c>
      <c r="Q53" s="231">
        <f t="shared" si="8"/>
        <v>100.34437086092716</v>
      </c>
      <c r="R53" s="232">
        <f t="shared" si="9"/>
        <v>1.3000000000000114</v>
      </c>
      <c r="S53" s="233"/>
      <c r="T53" s="231"/>
      <c r="U53" s="231"/>
      <c r="V53" s="234"/>
      <c r="W53" s="230"/>
      <c r="X53" s="231"/>
      <c r="Y53" s="231"/>
      <c r="Z53" s="231"/>
      <c r="AA53" s="231"/>
      <c r="AB53" s="231"/>
      <c r="AC53" s="231"/>
      <c r="AD53" s="232"/>
      <c r="AE53" s="230">
        <f>53.7+3</f>
        <v>56.7</v>
      </c>
      <c r="AF53" s="231">
        <f>1+30</f>
        <v>31</v>
      </c>
      <c r="AG53" s="231">
        <f t="shared" si="14"/>
        <v>54.673721340388006</v>
      </c>
      <c r="AH53" s="231">
        <f t="shared" si="15"/>
        <v>-25.700000000000003</v>
      </c>
      <c r="AI53" s="231"/>
      <c r="AJ53" s="231"/>
      <c r="AK53" s="231"/>
      <c r="AL53" s="232"/>
      <c r="AO53" s="51"/>
    </row>
    <row r="54" spans="1:41" ht="11.45" customHeight="1">
      <c r="A54" s="229">
        <v>45</v>
      </c>
      <c r="B54" s="105" t="s">
        <v>69</v>
      </c>
      <c r="C54" s="230">
        <f t="shared" si="19"/>
        <v>1582.6000000000001</v>
      </c>
      <c r="D54" s="231">
        <f t="shared" si="19"/>
        <v>1789.8999999999999</v>
      </c>
      <c r="E54" s="231">
        <f t="shared" si="1"/>
        <v>113.09869834449637</v>
      </c>
      <c r="F54" s="231">
        <f t="shared" si="2"/>
        <v>207.29999999999973</v>
      </c>
      <c r="G54" s="231">
        <f t="shared" si="20"/>
        <v>1074.0999999999999</v>
      </c>
      <c r="H54" s="231">
        <f t="shared" si="20"/>
        <v>1239.6000000000001</v>
      </c>
      <c r="I54" s="231">
        <f t="shared" si="4"/>
        <v>115.40824876640912</v>
      </c>
      <c r="J54" s="232">
        <f t="shared" si="5"/>
        <v>165.50000000000023</v>
      </c>
      <c r="K54" s="230">
        <v>16.3</v>
      </c>
      <c r="L54" s="231">
        <v>16.600000000000001</v>
      </c>
      <c r="M54" s="231">
        <f t="shared" si="6"/>
        <v>101.84049079754602</v>
      </c>
      <c r="N54" s="231">
        <f t="shared" si="7"/>
        <v>0.30000000000000071</v>
      </c>
      <c r="O54" s="231">
        <v>10.8</v>
      </c>
      <c r="P54" s="231">
        <v>11.2</v>
      </c>
      <c r="Q54" s="231">
        <f t="shared" si="8"/>
        <v>103.7037037037037</v>
      </c>
      <c r="R54" s="232">
        <f t="shared" si="9"/>
        <v>0.39999999999999858</v>
      </c>
      <c r="S54" s="233"/>
      <c r="T54" s="231"/>
      <c r="U54" s="231"/>
      <c r="V54" s="234"/>
      <c r="W54" s="230">
        <v>1558.9</v>
      </c>
      <c r="X54" s="231">
        <v>1769.5</v>
      </c>
      <c r="Y54" s="231">
        <f>+X54/W54*100</f>
        <v>113.5095259477837</v>
      </c>
      <c r="Z54" s="231">
        <f>+X54-W54</f>
        <v>210.59999999999991</v>
      </c>
      <c r="AA54" s="231">
        <v>1063.3</v>
      </c>
      <c r="AB54" s="231">
        <v>1228.4000000000001</v>
      </c>
      <c r="AC54" s="231">
        <f>+AB54/AA54*100</f>
        <v>115.52713251199098</v>
      </c>
      <c r="AD54" s="232">
        <f>+AB54-AA54</f>
        <v>165.10000000000014</v>
      </c>
      <c r="AE54" s="230">
        <f>6.2+1.2</f>
        <v>7.4</v>
      </c>
      <c r="AF54" s="231">
        <f>1.2+2.6</f>
        <v>3.8</v>
      </c>
      <c r="AG54" s="231">
        <f>+AF54/AE54*100</f>
        <v>51.351351351351347</v>
      </c>
      <c r="AH54" s="231">
        <f t="shared" si="15"/>
        <v>-3.6000000000000005</v>
      </c>
      <c r="AI54" s="231"/>
      <c r="AJ54" s="231"/>
      <c r="AK54" s="231"/>
      <c r="AL54" s="232"/>
      <c r="AO54" s="51"/>
    </row>
    <row r="55" spans="1:41" ht="11.45" customHeight="1">
      <c r="A55" s="229">
        <v>46</v>
      </c>
      <c r="B55" s="105" t="s">
        <v>309</v>
      </c>
      <c r="C55" s="230">
        <f t="shared" si="19"/>
        <v>1730.1</v>
      </c>
      <c r="D55" s="231">
        <f t="shared" si="19"/>
        <v>1771.1000000000001</v>
      </c>
      <c r="E55" s="231">
        <f t="shared" si="1"/>
        <v>102.36980521357148</v>
      </c>
      <c r="F55" s="231">
        <f t="shared" si="2"/>
        <v>41.000000000000227</v>
      </c>
      <c r="G55" s="231">
        <f t="shared" si="20"/>
        <v>840.5</v>
      </c>
      <c r="H55" s="231">
        <f t="shared" si="20"/>
        <v>877.5</v>
      </c>
      <c r="I55" s="231">
        <f t="shared" si="4"/>
        <v>104.40214158239142</v>
      </c>
      <c r="J55" s="232">
        <f t="shared" si="5"/>
        <v>37</v>
      </c>
      <c r="K55" s="230">
        <v>1367.7</v>
      </c>
      <c r="L55" s="231">
        <v>1413.2</v>
      </c>
      <c r="M55" s="231">
        <f t="shared" si="6"/>
        <v>103.32675294289683</v>
      </c>
      <c r="N55" s="231">
        <f t="shared" si="7"/>
        <v>45.5</v>
      </c>
      <c r="O55" s="231">
        <v>625.79999999999995</v>
      </c>
      <c r="P55" s="231">
        <v>663.6</v>
      </c>
      <c r="Q55" s="231">
        <f t="shared" si="8"/>
        <v>106.04026845637584</v>
      </c>
      <c r="R55" s="232">
        <f t="shared" si="9"/>
        <v>37.800000000000068</v>
      </c>
      <c r="S55" s="233"/>
      <c r="T55" s="231"/>
      <c r="U55" s="231"/>
      <c r="V55" s="234"/>
      <c r="W55" s="230">
        <f>63.5+270.4</f>
        <v>333.9</v>
      </c>
      <c r="X55" s="231">
        <f>270.9+62.3</f>
        <v>333.2</v>
      </c>
      <c r="Y55" s="231">
        <f>+X55/W55*100</f>
        <v>99.790356394129986</v>
      </c>
      <c r="Z55" s="231">
        <f>+X55-W55</f>
        <v>-0.69999999999998863</v>
      </c>
      <c r="AA55" s="231">
        <f>48.3+166.4</f>
        <v>214.7</v>
      </c>
      <c r="AB55" s="231">
        <f>166.3+47.6</f>
        <v>213.9</v>
      </c>
      <c r="AC55" s="231">
        <f>+AB55/AA55*100</f>
        <v>99.627387051700055</v>
      </c>
      <c r="AD55" s="232">
        <f>+AB55-AA55</f>
        <v>-0.79999999999998295</v>
      </c>
      <c r="AE55" s="230">
        <v>28.5</v>
      </c>
      <c r="AF55" s="231">
        <v>24.7</v>
      </c>
      <c r="AG55" s="231">
        <f>+AF55/AE55*100</f>
        <v>86.666666666666671</v>
      </c>
      <c r="AH55" s="231">
        <f t="shared" si="15"/>
        <v>-3.8000000000000007</v>
      </c>
      <c r="AI55" s="231"/>
      <c r="AJ55" s="231"/>
      <c r="AK55" s="231"/>
      <c r="AL55" s="232"/>
      <c r="AO55" s="51"/>
    </row>
    <row r="56" spans="1:41" ht="11.45" customHeight="1">
      <c r="A56" s="229">
        <v>47</v>
      </c>
      <c r="B56" s="105" t="s">
        <v>71</v>
      </c>
      <c r="C56" s="230">
        <f t="shared" si="19"/>
        <v>927.1</v>
      </c>
      <c r="D56" s="231">
        <f t="shared" si="19"/>
        <v>909.09999999999991</v>
      </c>
      <c r="E56" s="231">
        <f t="shared" si="1"/>
        <v>98.058461870348395</v>
      </c>
      <c r="F56" s="231">
        <f t="shared" si="2"/>
        <v>-18.000000000000114</v>
      </c>
      <c r="G56" s="231">
        <f t="shared" si="20"/>
        <v>455.1</v>
      </c>
      <c r="H56" s="231">
        <f t="shared" si="20"/>
        <v>468.20000000000005</v>
      </c>
      <c r="I56" s="231">
        <f t="shared" si="4"/>
        <v>102.87848824434191</v>
      </c>
      <c r="J56" s="232">
        <f t="shared" si="5"/>
        <v>13.100000000000023</v>
      </c>
      <c r="K56" s="230">
        <v>304.89999999999998</v>
      </c>
      <c r="L56" s="231">
        <v>309.5</v>
      </c>
      <c r="M56" s="231">
        <f t="shared" si="6"/>
        <v>101.50869137422107</v>
      </c>
      <c r="N56" s="231">
        <f t="shared" si="7"/>
        <v>4.6000000000000227</v>
      </c>
      <c r="O56" s="231">
        <v>186.2</v>
      </c>
      <c r="P56" s="231">
        <v>200.8</v>
      </c>
      <c r="Q56" s="231">
        <f t="shared" si="8"/>
        <v>107.84103114930184</v>
      </c>
      <c r="R56" s="232">
        <f t="shared" si="9"/>
        <v>14.600000000000023</v>
      </c>
      <c r="S56" s="233"/>
      <c r="T56" s="231"/>
      <c r="U56" s="231"/>
      <c r="V56" s="234"/>
      <c r="W56" s="230">
        <v>251.6</v>
      </c>
      <c r="X56" s="231">
        <v>231.4</v>
      </c>
      <c r="Y56" s="231">
        <f>+X56/W56*100</f>
        <v>91.971383147853743</v>
      </c>
      <c r="Z56" s="231">
        <f>+X56-W56</f>
        <v>-20.199999999999989</v>
      </c>
      <c r="AA56" s="231">
        <v>119.5</v>
      </c>
      <c r="AB56" s="231">
        <v>118</v>
      </c>
      <c r="AC56" s="231">
        <f>+AB56/AA56*100</f>
        <v>98.744769874476987</v>
      </c>
      <c r="AD56" s="232">
        <f>+AB56-AA56</f>
        <v>-1.5</v>
      </c>
      <c r="AE56" s="230">
        <v>370.6</v>
      </c>
      <c r="AF56" s="231">
        <v>368.2</v>
      </c>
      <c r="AG56" s="231">
        <f>+AF56/AE56*100</f>
        <v>99.352401511063121</v>
      </c>
      <c r="AH56" s="231">
        <f t="shared" si="15"/>
        <v>-2.4000000000000341</v>
      </c>
      <c r="AI56" s="231">
        <v>149.4</v>
      </c>
      <c r="AJ56" s="231">
        <v>149.4</v>
      </c>
      <c r="AK56" s="231">
        <f>+AJ56/AI56*100</f>
        <v>100</v>
      </c>
      <c r="AL56" s="232">
        <f>+AJ56-AI56</f>
        <v>0</v>
      </c>
      <c r="AO56" s="51"/>
    </row>
    <row r="57" spans="1:41" ht="11.45" customHeight="1">
      <c r="A57" s="229">
        <v>48</v>
      </c>
      <c r="B57" s="105" t="s">
        <v>310</v>
      </c>
      <c r="C57" s="230">
        <f t="shared" si="19"/>
        <v>1108.9000000000001</v>
      </c>
      <c r="D57" s="231">
        <f t="shared" si="19"/>
        <v>1138.2</v>
      </c>
      <c r="E57" s="231">
        <f t="shared" si="1"/>
        <v>102.64225809360627</v>
      </c>
      <c r="F57" s="231">
        <f t="shared" si="2"/>
        <v>29.299999999999955</v>
      </c>
      <c r="G57" s="231">
        <f t="shared" si="20"/>
        <v>474.59999999999997</v>
      </c>
      <c r="H57" s="231">
        <f t="shared" si="20"/>
        <v>530.5</v>
      </c>
      <c r="I57" s="231">
        <f t="shared" si="4"/>
        <v>111.77833965444586</v>
      </c>
      <c r="J57" s="232">
        <f t="shared" si="5"/>
        <v>55.900000000000034</v>
      </c>
      <c r="K57" s="230">
        <f>178.9+240.7</f>
        <v>419.6</v>
      </c>
      <c r="L57" s="231">
        <v>428.6</v>
      </c>
      <c r="M57" s="231">
        <f t="shared" si="6"/>
        <v>102.14489990467111</v>
      </c>
      <c r="N57" s="231">
        <f t="shared" si="7"/>
        <v>9</v>
      </c>
      <c r="O57" s="231">
        <f>101.8+172.7</f>
        <v>274.5</v>
      </c>
      <c r="P57" s="231">
        <v>291.5</v>
      </c>
      <c r="Q57" s="231">
        <f>+P57/O57*100</f>
        <v>106.19307832422587</v>
      </c>
      <c r="R57" s="232">
        <f t="shared" si="9"/>
        <v>17</v>
      </c>
      <c r="S57" s="233"/>
      <c r="T57" s="231"/>
      <c r="U57" s="231"/>
      <c r="V57" s="234"/>
      <c r="W57" s="230">
        <f>146.5+160</f>
        <v>306.5</v>
      </c>
      <c r="X57" s="231">
        <f>145+172.9</f>
        <v>317.89999999999998</v>
      </c>
      <c r="Y57" s="231">
        <f>+X57/W57*100</f>
        <v>103.71941272430666</v>
      </c>
      <c r="Z57" s="231">
        <f>+X57-W57</f>
        <v>11.399999999999977</v>
      </c>
      <c r="AA57" s="231">
        <f>62.1+116.8</f>
        <v>178.9</v>
      </c>
      <c r="AB57" s="231">
        <f>62.2+126.6</f>
        <v>188.8</v>
      </c>
      <c r="AC57" s="231">
        <f>+AB57/AA57*100</f>
        <v>105.53381777529347</v>
      </c>
      <c r="AD57" s="232">
        <f>+AB57-AA57</f>
        <v>9.9000000000000057</v>
      </c>
      <c r="AE57" s="230">
        <f>36.8+346</f>
        <v>382.8</v>
      </c>
      <c r="AF57" s="231">
        <v>391.7</v>
      </c>
      <c r="AG57" s="231">
        <f>+AF57/AE57*100</f>
        <v>102.32497387669801</v>
      </c>
      <c r="AH57" s="231">
        <f t="shared" si="15"/>
        <v>8.8999999999999773</v>
      </c>
      <c r="AI57" s="231">
        <v>21.2</v>
      </c>
      <c r="AJ57" s="231">
        <v>50.2</v>
      </c>
      <c r="AK57" s="231" t="s">
        <v>311</v>
      </c>
      <c r="AL57" s="232">
        <f>+AJ57-AI57</f>
        <v>29.000000000000004</v>
      </c>
      <c r="AO57" s="51"/>
    </row>
    <row r="58" spans="1:41" ht="11.45" customHeight="1">
      <c r="A58" s="229">
        <v>49</v>
      </c>
      <c r="B58" s="105" t="s">
        <v>312</v>
      </c>
      <c r="C58" s="230">
        <f t="shared" si="19"/>
        <v>941.3</v>
      </c>
      <c r="D58" s="231">
        <f t="shared" si="19"/>
        <v>1030.7</v>
      </c>
      <c r="E58" s="231">
        <f t="shared" si="1"/>
        <v>109.49750345267184</v>
      </c>
      <c r="F58" s="231">
        <f t="shared" si="2"/>
        <v>89.400000000000091</v>
      </c>
      <c r="G58" s="231">
        <f t="shared" si="20"/>
        <v>417.70000000000005</v>
      </c>
      <c r="H58" s="231">
        <f t="shared" si="20"/>
        <v>483.79999999999995</v>
      </c>
      <c r="I58" s="231">
        <f t="shared" si="4"/>
        <v>115.82475460857071</v>
      </c>
      <c r="J58" s="232">
        <f t="shared" si="5"/>
        <v>66.099999999999909</v>
      </c>
      <c r="K58" s="230">
        <f>179.8+201</f>
        <v>380.8</v>
      </c>
      <c r="L58" s="231">
        <v>476.6</v>
      </c>
      <c r="M58" s="231">
        <f t="shared" si="6"/>
        <v>125.15756302521008</v>
      </c>
      <c r="N58" s="231">
        <f t="shared" si="7"/>
        <v>95.800000000000011</v>
      </c>
      <c r="O58" s="231">
        <f>96+146.2</f>
        <v>242.2</v>
      </c>
      <c r="P58" s="231">
        <v>322.39999999999998</v>
      </c>
      <c r="Q58" s="231">
        <f>+P58/O58*100</f>
        <v>133.11312964492154</v>
      </c>
      <c r="R58" s="232">
        <f t="shared" si="9"/>
        <v>80.199999999999989</v>
      </c>
      <c r="S58" s="233"/>
      <c r="T58" s="231"/>
      <c r="U58" s="231"/>
      <c r="V58" s="234"/>
      <c r="W58" s="230">
        <f>130+127.5</f>
        <v>257.5</v>
      </c>
      <c r="X58" s="231">
        <f>130+130.3</f>
        <v>260.3</v>
      </c>
      <c r="Y58" s="231">
        <f>+X58/W58*100</f>
        <v>101.08737864077671</v>
      </c>
      <c r="Z58" s="231">
        <f>+X58-W58</f>
        <v>2.8000000000000114</v>
      </c>
      <c r="AA58" s="231">
        <f>65+92.9</f>
        <v>157.9</v>
      </c>
      <c r="AB58" s="231">
        <f>51.3+95.1</f>
        <v>146.39999999999998</v>
      </c>
      <c r="AC58" s="231">
        <f>+AB58/AA58*100</f>
        <v>92.716909436352097</v>
      </c>
      <c r="AD58" s="232">
        <f>+AB58-AA58</f>
        <v>-11.500000000000028</v>
      </c>
      <c r="AE58" s="230">
        <f>30+273</f>
        <v>303</v>
      </c>
      <c r="AF58" s="231">
        <v>293.8</v>
      </c>
      <c r="AG58" s="231">
        <f>+AF58/AE58*100</f>
        <v>96.963696369636963</v>
      </c>
      <c r="AH58" s="231">
        <f t="shared" si="15"/>
        <v>-9.1999999999999886</v>
      </c>
      <c r="AI58" s="231">
        <v>17.600000000000001</v>
      </c>
      <c r="AJ58" s="231">
        <v>15</v>
      </c>
      <c r="AK58" s="231">
        <f>+AJ58/AI58*100</f>
        <v>85.22727272727272</v>
      </c>
      <c r="AL58" s="232">
        <f>+AJ58-AI58</f>
        <v>-2.6000000000000014</v>
      </c>
      <c r="AO58" s="51"/>
    </row>
    <row r="59" spans="1:41" ht="11.45" customHeight="1">
      <c r="A59" s="229">
        <v>50</v>
      </c>
      <c r="B59" s="105" t="s">
        <v>313</v>
      </c>
      <c r="C59" s="230">
        <f t="shared" si="19"/>
        <v>759.2</v>
      </c>
      <c r="D59" s="231">
        <f t="shared" si="19"/>
        <v>807.7</v>
      </c>
      <c r="E59" s="231">
        <f t="shared" si="1"/>
        <v>106.38830347734458</v>
      </c>
      <c r="F59" s="231">
        <f t="shared" si="2"/>
        <v>48.5</v>
      </c>
      <c r="G59" s="231">
        <f t="shared" si="20"/>
        <v>533.70000000000005</v>
      </c>
      <c r="H59" s="231">
        <f t="shared" si="20"/>
        <v>572</v>
      </c>
      <c r="I59" s="231">
        <f t="shared" si="4"/>
        <v>107.17631628255573</v>
      </c>
      <c r="J59" s="232">
        <f t="shared" si="5"/>
        <v>38.299999999999955</v>
      </c>
      <c r="K59" s="230">
        <v>758.7</v>
      </c>
      <c r="L59" s="231">
        <v>807.7</v>
      </c>
      <c r="M59" s="231">
        <f t="shared" si="6"/>
        <v>106.45841571108474</v>
      </c>
      <c r="N59" s="231">
        <f t="shared" si="7"/>
        <v>49</v>
      </c>
      <c r="O59" s="231">
        <v>533.70000000000005</v>
      </c>
      <c r="P59" s="231">
        <v>572</v>
      </c>
      <c r="Q59" s="231">
        <f>+P59/O59*100</f>
        <v>107.17631628255573</v>
      </c>
      <c r="R59" s="232">
        <f t="shared" si="9"/>
        <v>38.299999999999955</v>
      </c>
      <c r="S59" s="233"/>
      <c r="T59" s="231"/>
      <c r="U59" s="231"/>
      <c r="V59" s="234"/>
      <c r="W59" s="230"/>
      <c r="X59" s="231"/>
      <c r="Y59" s="231"/>
      <c r="Z59" s="231"/>
      <c r="AA59" s="231"/>
      <c r="AB59" s="231"/>
      <c r="AC59" s="231"/>
      <c r="AD59" s="232"/>
      <c r="AE59" s="230">
        <v>0.5</v>
      </c>
      <c r="AF59" s="231"/>
      <c r="AG59" s="231"/>
      <c r="AH59" s="231">
        <f t="shared" si="15"/>
        <v>-0.5</v>
      </c>
      <c r="AI59" s="231"/>
      <c r="AJ59" s="231"/>
      <c r="AK59" s="231"/>
      <c r="AL59" s="232"/>
      <c r="AO59" s="51"/>
    </row>
    <row r="60" spans="1:41" ht="11.45" customHeight="1">
      <c r="A60" s="229">
        <v>51</v>
      </c>
      <c r="B60" s="108" t="s">
        <v>314</v>
      </c>
      <c r="C60" s="230">
        <f t="shared" si="19"/>
        <v>204.39999999999998</v>
      </c>
      <c r="D60" s="231">
        <f t="shared" si="19"/>
        <v>225.7</v>
      </c>
      <c r="E60" s="231">
        <f t="shared" si="1"/>
        <v>110.42074363992174</v>
      </c>
      <c r="F60" s="231">
        <f t="shared" si="2"/>
        <v>21.300000000000011</v>
      </c>
      <c r="G60" s="231">
        <f t="shared" si="20"/>
        <v>125.8</v>
      </c>
      <c r="H60" s="231">
        <f t="shared" si="20"/>
        <v>128</v>
      </c>
      <c r="I60" s="231">
        <f t="shared" si="4"/>
        <v>101.74880763116056</v>
      </c>
      <c r="J60" s="232">
        <f t="shared" si="5"/>
        <v>2.2000000000000028</v>
      </c>
      <c r="K60" s="230">
        <v>153.19999999999999</v>
      </c>
      <c r="L60" s="231">
        <v>149.6</v>
      </c>
      <c r="M60" s="231">
        <f t="shared" si="6"/>
        <v>97.650130548302869</v>
      </c>
      <c r="N60" s="231">
        <f t="shared" si="7"/>
        <v>-3.5999999999999943</v>
      </c>
      <c r="O60" s="231">
        <v>118.8</v>
      </c>
      <c r="P60" s="231">
        <v>118</v>
      </c>
      <c r="Q60" s="231">
        <f>+P60/O60*100</f>
        <v>99.326599326599336</v>
      </c>
      <c r="R60" s="232">
        <f t="shared" si="9"/>
        <v>-0.79999999999999716</v>
      </c>
      <c r="S60" s="233"/>
      <c r="T60" s="231"/>
      <c r="U60" s="231"/>
      <c r="V60" s="234"/>
      <c r="W60" s="230"/>
      <c r="X60" s="231"/>
      <c r="Y60" s="231"/>
      <c r="Z60" s="231"/>
      <c r="AA60" s="231"/>
      <c r="AB60" s="231"/>
      <c r="AC60" s="231"/>
      <c r="AD60" s="232"/>
      <c r="AE60" s="230">
        <v>51.2</v>
      </c>
      <c r="AF60" s="231">
        <v>76.099999999999994</v>
      </c>
      <c r="AG60" s="231">
        <f>+AF60/AE60*100</f>
        <v>148.63281249999997</v>
      </c>
      <c r="AH60" s="231">
        <f>+AF60-AE60</f>
        <v>24.899999999999991</v>
      </c>
      <c r="AI60" s="231">
        <v>7</v>
      </c>
      <c r="AJ60" s="231">
        <v>10</v>
      </c>
      <c r="AK60" s="231">
        <f>+AJ60/AI60*100</f>
        <v>142.85714285714286</v>
      </c>
      <c r="AL60" s="232">
        <f>+AJ60-AI60</f>
        <v>3</v>
      </c>
      <c r="AO60" s="51"/>
    </row>
    <row r="61" spans="1:41" ht="11.45" customHeight="1">
      <c r="A61" s="229">
        <v>52</v>
      </c>
      <c r="B61" s="105" t="s">
        <v>315</v>
      </c>
      <c r="C61" s="230">
        <f t="shared" si="19"/>
        <v>234.3</v>
      </c>
      <c r="D61" s="231">
        <f t="shared" si="19"/>
        <v>227.2</v>
      </c>
      <c r="E61" s="231">
        <f t="shared" si="1"/>
        <v>96.969696969696955</v>
      </c>
      <c r="F61" s="231">
        <f t="shared" si="2"/>
        <v>-7.1000000000000227</v>
      </c>
      <c r="G61" s="231">
        <f t="shared" si="20"/>
        <v>159.1</v>
      </c>
      <c r="H61" s="231">
        <f t="shared" si="20"/>
        <v>164.8</v>
      </c>
      <c r="I61" s="231">
        <f t="shared" si="4"/>
        <v>103.58265241986173</v>
      </c>
      <c r="J61" s="232">
        <f t="shared" si="5"/>
        <v>5.7000000000000171</v>
      </c>
      <c r="K61" s="230">
        <v>234.3</v>
      </c>
      <c r="L61" s="231">
        <v>227.2</v>
      </c>
      <c r="M61" s="231">
        <f t="shared" si="6"/>
        <v>96.969696969696955</v>
      </c>
      <c r="N61" s="231">
        <f t="shared" si="7"/>
        <v>-7.1000000000000227</v>
      </c>
      <c r="O61" s="231">
        <v>159.1</v>
      </c>
      <c r="P61" s="231">
        <v>164.8</v>
      </c>
      <c r="Q61" s="231">
        <f>+P61/O61*100</f>
        <v>103.58265241986173</v>
      </c>
      <c r="R61" s="232">
        <f t="shared" si="9"/>
        <v>5.7000000000000171</v>
      </c>
      <c r="S61" s="233"/>
      <c r="T61" s="231"/>
      <c r="U61" s="231"/>
      <c r="V61" s="234"/>
      <c r="W61" s="230"/>
      <c r="X61" s="231"/>
      <c r="Y61" s="231"/>
      <c r="Z61" s="231"/>
      <c r="AA61" s="231"/>
      <c r="AB61" s="231"/>
      <c r="AC61" s="231"/>
      <c r="AD61" s="232"/>
      <c r="AE61" s="230"/>
      <c r="AF61" s="231"/>
      <c r="AG61" s="231"/>
      <c r="AH61" s="231"/>
      <c r="AI61" s="231"/>
      <c r="AJ61" s="231"/>
      <c r="AK61" s="231"/>
      <c r="AL61" s="232"/>
      <c r="AO61" s="51"/>
    </row>
    <row r="62" spans="1:41" ht="11.45" customHeight="1">
      <c r="A62" s="229">
        <v>53</v>
      </c>
      <c r="B62" s="108" t="s">
        <v>316</v>
      </c>
      <c r="C62" s="230">
        <f t="shared" si="19"/>
        <v>9734.5999999999985</v>
      </c>
      <c r="D62" s="231">
        <f t="shared" si="19"/>
        <v>9835</v>
      </c>
      <c r="E62" s="231">
        <f t="shared" si="1"/>
        <v>101.03137262958933</v>
      </c>
      <c r="F62" s="231">
        <f t="shared" si="2"/>
        <v>100.40000000000146</v>
      </c>
      <c r="G62" s="231">
        <f t="shared" si="20"/>
        <v>3649.8</v>
      </c>
      <c r="H62" s="231">
        <f t="shared" si="20"/>
        <v>3755.1</v>
      </c>
      <c r="I62" s="231">
        <f t="shared" si="4"/>
        <v>102.88508959395035</v>
      </c>
      <c r="J62" s="232">
        <f t="shared" si="5"/>
        <v>105.29999999999973</v>
      </c>
      <c r="K62" s="230">
        <f>336.6+273.5+227+279.6+4590.9</f>
        <v>5707.5999999999995</v>
      </c>
      <c r="L62" s="231">
        <v>6259.5</v>
      </c>
      <c r="M62" s="231">
        <f t="shared" si="6"/>
        <v>109.66956338916533</v>
      </c>
      <c r="N62" s="231">
        <f t="shared" si="7"/>
        <v>551.90000000000055</v>
      </c>
      <c r="O62" s="231">
        <f>244.6+36+87.4+94.4+2404.5</f>
        <v>2866.9</v>
      </c>
      <c r="P62" s="231">
        <v>2839.6</v>
      </c>
      <c r="Q62" s="231">
        <f t="shared" ref="Q62:Q74" si="21">+P62/O62*100</f>
        <v>99.047751927168719</v>
      </c>
      <c r="R62" s="232">
        <f t="shared" si="9"/>
        <v>-27.300000000000182</v>
      </c>
      <c r="S62" s="233"/>
      <c r="T62" s="231"/>
      <c r="U62" s="231"/>
      <c r="V62" s="234"/>
      <c r="W62" s="230">
        <f>92.5+2592+85.9+397.9+3.1+131.4+113.6+82.2+23.4+23+247.4+35.4+31.2+2+28.6</f>
        <v>3889.6</v>
      </c>
      <c r="X62" s="231">
        <f>115+1983.3+67.6+403.5+3.1+131.4+112.3+105.6+23.4+23.1+358+32+26.8+2+28.6+17.8</f>
        <v>3433.5000000000005</v>
      </c>
      <c r="Y62" s="231">
        <f t="shared" ref="Y62:Y74" si="22">+X62/W62*100</f>
        <v>88.273858494446742</v>
      </c>
      <c r="Z62" s="231">
        <f t="shared" ref="Z62:Z73" si="23">+X62-W62</f>
        <v>-456.09999999999945</v>
      </c>
      <c r="AA62" s="231">
        <f>36+59+227.3+81.3+66.4+50.3+17.5+15.7+179.9+25.3+22.7+1.5</f>
        <v>782.9</v>
      </c>
      <c r="AB62" s="231">
        <f>68.4+49.2+246.7+86.4+73.3+60+17.9+15.7+240.3+23+19.5+1.5+13.6</f>
        <v>915.50000000000011</v>
      </c>
      <c r="AC62" s="231">
        <f t="shared" ref="AC62:AC74" si="24">+AB62/AA62*100</f>
        <v>116.93702899476308</v>
      </c>
      <c r="AD62" s="232">
        <f t="shared" ref="AD62:AD73" si="25">+AB62-AA62</f>
        <v>132.60000000000014</v>
      </c>
      <c r="AE62" s="230">
        <f>98.8+38.6</f>
        <v>137.4</v>
      </c>
      <c r="AF62" s="231">
        <f>41.1+100.9</f>
        <v>142</v>
      </c>
      <c r="AG62" s="231">
        <f t="shared" ref="AG62:AG74" si="26">+AF62/AE62*100</f>
        <v>103.34788937409026</v>
      </c>
      <c r="AH62" s="231">
        <f t="shared" ref="AH62:AH73" si="27">+AF62-AE62</f>
        <v>4.5999999999999943</v>
      </c>
      <c r="AI62" s="231"/>
      <c r="AJ62" s="231"/>
      <c r="AK62" s="231"/>
      <c r="AL62" s="232"/>
      <c r="AO62" s="51"/>
    </row>
    <row r="63" spans="1:41" ht="11.45" customHeight="1">
      <c r="A63" s="229">
        <v>54</v>
      </c>
      <c r="B63" s="105" t="s">
        <v>317</v>
      </c>
      <c r="C63" s="230">
        <f t="shared" si="19"/>
        <v>8014.4</v>
      </c>
      <c r="D63" s="231">
        <f t="shared" si="19"/>
        <v>6774.4000000000015</v>
      </c>
      <c r="E63" s="231">
        <f t="shared" si="1"/>
        <v>84.527849870233609</v>
      </c>
      <c r="F63" s="231">
        <f t="shared" si="2"/>
        <v>-1239.9999999999982</v>
      </c>
      <c r="G63" s="231">
        <f t="shared" si="20"/>
        <v>569.70000000000005</v>
      </c>
      <c r="H63" s="231">
        <f t="shared" si="20"/>
        <v>535.79999999999995</v>
      </c>
      <c r="I63" s="231">
        <f t="shared" si="4"/>
        <v>94.04949973670351</v>
      </c>
      <c r="J63" s="232">
        <f t="shared" si="5"/>
        <v>-33.900000000000091</v>
      </c>
      <c r="K63" s="230">
        <f>112.5+417.3+1654.7+343.2</f>
        <v>2527.6999999999998</v>
      </c>
      <c r="L63" s="231">
        <v>2553.4</v>
      </c>
      <c r="M63" s="231">
        <f t="shared" si="6"/>
        <v>101.01673458084426</v>
      </c>
      <c r="N63" s="231">
        <f t="shared" si="7"/>
        <v>25.700000000000273</v>
      </c>
      <c r="O63" s="231">
        <f>78+114.9+231.3</f>
        <v>424.20000000000005</v>
      </c>
      <c r="P63" s="231">
        <v>391.9</v>
      </c>
      <c r="Q63" s="231">
        <f t="shared" si="21"/>
        <v>92.385667138142367</v>
      </c>
      <c r="R63" s="232">
        <f t="shared" si="9"/>
        <v>-32.300000000000068</v>
      </c>
      <c r="S63" s="233"/>
      <c r="T63" s="231"/>
      <c r="U63" s="231"/>
      <c r="V63" s="234"/>
      <c r="W63" s="230">
        <f>5310.3+12.8+119.8+14.9</f>
        <v>5457.8</v>
      </c>
      <c r="X63" s="231">
        <f>4065.5+127.6+12.8</f>
        <v>4205.9000000000005</v>
      </c>
      <c r="Y63" s="231">
        <f t="shared" si="22"/>
        <v>77.062186228883448</v>
      </c>
      <c r="Z63" s="231">
        <f t="shared" si="23"/>
        <v>-1251.8999999999996</v>
      </c>
      <c r="AA63" s="231">
        <f>48.6+9.6+87.3</f>
        <v>145.5</v>
      </c>
      <c r="AB63" s="231">
        <f>50.9+93</f>
        <v>143.9</v>
      </c>
      <c r="AC63" s="231">
        <f t="shared" si="24"/>
        <v>98.900343642611688</v>
      </c>
      <c r="AD63" s="232">
        <f t="shared" si="25"/>
        <v>-1.5999999999999943</v>
      </c>
      <c r="AE63" s="230">
        <f>19.6+9.3</f>
        <v>28.900000000000002</v>
      </c>
      <c r="AF63" s="231">
        <f>6.4+8.7</f>
        <v>15.1</v>
      </c>
      <c r="AG63" s="231">
        <f t="shared" si="26"/>
        <v>52.249134948096874</v>
      </c>
      <c r="AH63" s="231">
        <f t="shared" si="27"/>
        <v>-13.800000000000002</v>
      </c>
      <c r="AI63" s="231"/>
      <c r="AJ63" s="231"/>
      <c r="AK63" s="231"/>
      <c r="AL63" s="232"/>
      <c r="AO63" s="51"/>
    </row>
    <row r="64" spans="1:41" ht="11.45" customHeight="1">
      <c r="A64" s="229">
        <v>55</v>
      </c>
      <c r="B64" s="105" t="s">
        <v>318</v>
      </c>
      <c r="C64" s="230">
        <f t="shared" si="19"/>
        <v>1776.4</v>
      </c>
      <c r="D64" s="231">
        <f t="shared" si="19"/>
        <v>1556.2</v>
      </c>
      <c r="E64" s="231">
        <f t="shared" si="1"/>
        <v>87.604143210988511</v>
      </c>
      <c r="F64" s="231">
        <f t="shared" si="2"/>
        <v>-220.20000000000005</v>
      </c>
      <c r="G64" s="231">
        <f t="shared" si="20"/>
        <v>340.4</v>
      </c>
      <c r="H64" s="231">
        <f t="shared" si="20"/>
        <v>371.3</v>
      </c>
      <c r="I64" s="231">
        <f t="shared" si="4"/>
        <v>109.07755581668626</v>
      </c>
      <c r="J64" s="232">
        <f t="shared" si="5"/>
        <v>30.900000000000034</v>
      </c>
      <c r="K64" s="230">
        <f>84.9+37.6+150.9+148.6</f>
        <v>422</v>
      </c>
      <c r="L64" s="231">
        <v>472.2</v>
      </c>
      <c r="M64" s="231">
        <f t="shared" si="6"/>
        <v>111.89573459715641</v>
      </c>
      <c r="N64" s="231">
        <f t="shared" si="7"/>
        <v>50.199999999999989</v>
      </c>
      <c r="O64" s="231">
        <f>64.7+74.7+91</f>
        <v>230.4</v>
      </c>
      <c r="P64" s="231">
        <v>259.5</v>
      </c>
      <c r="Q64" s="231">
        <f t="shared" si="21"/>
        <v>112.63020833333333</v>
      </c>
      <c r="R64" s="232">
        <f t="shared" si="9"/>
        <v>29.099999999999994</v>
      </c>
      <c r="S64" s="233"/>
      <c r="T64" s="231"/>
      <c r="U64" s="231"/>
      <c r="V64" s="234"/>
      <c r="W64" s="230">
        <f>1185.4+27.4+24.3+0.5+81.9+8.1</f>
        <v>1327.6000000000001</v>
      </c>
      <c r="X64" s="231">
        <f>24.9+912.1+23.4+75.2+16.5</f>
        <v>1052.0999999999999</v>
      </c>
      <c r="Y64" s="231">
        <f t="shared" si="22"/>
        <v>79.248267550466991</v>
      </c>
      <c r="Z64" s="231">
        <f t="shared" si="23"/>
        <v>-275.50000000000023</v>
      </c>
      <c r="AA64" s="231">
        <f>13.2+20.6+16.1+0.4+59.7</f>
        <v>110</v>
      </c>
      <c r="AB64" s="231">
        <f>19+21.9+16.1+54.8</f>
        <v>111.8</v>
      </c>
      <c r="AC64" s="231">
        <f t="shared" si="24"/>
        <v>101.63636363636364</v>
      </c>
      <c r="AD64" s="232">
        <f t="shared" si="25"/>
        <v>1.7999999999999972</v>
      </c>
      <c r="AE64" s="230">
        <f>14.8+6+6</f>
        <v>26.8</v>
      </c>
      <c r="AF64" s="231">
        <f>6.9+25</f>
        <v>31.9</v>
      </c>
      <c r="AG64" s="231">
        <f t="shared" si="26"/>
        <v>119.02985074626864</v>
      </c>
      <c r="AH64" s="231">
        <f t="shared" si="27"/>
        <v>5.0999999999999979</v>
      </c>
      <c r="AI64" s="231"/>
      <c r="AJ64" s="231"/>
      <c r="AK64" s="231"/>
      <c r="AL64" s="232"/>
      <c r="AO64" s="51"/>
    </row>
    <row r="65" spans="1:41" ht="11.45" customHeight="1">
      <c r="A65" s="229">
        <v>56</v>
      </c>
      <c r="B65" s="105" t="s">
        <v>319</v>
      </c>
      <c r="C65" s="230">
        <f t="shared" si="19"/>
        <v>980.3</v>
      </c>
      <c r="D65" s="231">
        <f t="shared" si="19"/>
        <v>928.2</v>
      </c>
      <c r="E65" s="231">
        <f t="shared" si="1"/>
        <v>94.685300418239322</v>
      </c>
      <c r="F65" s="231">
        <f t="shared" si="2"/>
        <v>-52.099999999999909</v>
      </c>
      <c r="G65" s="231">
        <f t="shared" si="20"/>
        <v>208.9</v>
      </c>
      <c r="H65" s="231">
        <f t="shared" si="20"/>
        <v>225.20000000000002</v>
      </c>
      <c r="I65" s="231">
        <f t="shared" si="4"/>
        <v>107.80277644806129</v>
      </c>
      <c r="J65" s="232">
        <f t="shared" si="5"/>
        <v>16.300000000000011</v>
      </c>
      <c r="K65" s="230">
        <f>34.3+13.3+83.9+179.9</f>
        <v>311.39999999999998</v>
      </c>
      <c r="L65" s="231">
        <v>413.8</v>
      </c>
      <c r="M65" s="231">
        <f t="shared" si="6"/>
        <v>132.88375080282594</v>
      </c>
      <c r="N65" s="231">
        <f t="shared" si="7"/>
        <v>102.40000000000003</v>
      </c>
      <c r="O65" s="231">
        <f>25.8+32.2+98.9</f>
        <v>156.9</v>
      </c>
      <c r="P65" s="231">
        <v>177.4</v>
      </c>
      <c r="Q65" s="231">
        <f t="shared" si="21"/>
        <v>113.06564690885914</v>
      </c>
      <c r="R65" s="232">
        <f t="shared" si="9"/>
        <v>20.5</v>
      </c>
      <c r="S65" s="233"/>
      <c r="T65" s="231"/>
      <c r="U65" s="231"/>
      <c r="V65" s="234"/>
      <c r="W65" s="230">
        <f>583+20.9+16.8+0.5+21+2.5</f>
        <v>644.69999999999993</v>
      </c>
      <c r="X65" s="231">
        <f>24.8+438.9+16.1+14.2+3.1</f>
        <v>497.1</v>
      </c>
      <c r="Y65" s="231">
        <f t="shared" si="22"/>
        <v>77.105630525825973</v>
      </c>
      <c r="Z65" s="231">
        <f t="shared" si="23"/>
        <v>-147.59999999999991</v>
      </c>
      <c r="AA65" s="231">
        <f>9+16+11.3+0.4+15.3</f>
        <v>52</v>
      </c>
      <c r="AB65" s="231">
        <f>19+7.1+11.3+10.4</f>
        <v>47.800000000000004</v>
      </c>
      <c r="AC65" s="231">
        <f t="shared" si="24"/>
        <v>91.923076923076934</v>
      </c>
      <c r="AD65" s="232">
        <f t="shared" si="25"/>
        <v>-4.1999999999999957</v>
      </c>
      <c r="AE65" s="230">
        <f>22.8+1.4</f>
        <v>24.2</v>
      </c>
      <c r="AF65" s="231">
        <f>1.5+15.8</f>
        <v>17.3</v>
      </c>
      <c r="AG65" s="231">
        <f t="shared" si="26"/>
        <v>71.487603305785129</v>
      </c>
      <c r="AH65" s="231">
        <f t="shared" si="27"/>
        <v>-6.8999999999999986</v>
      </c>
      <c r="AI65" s="231"/>
      <c r="AJ65" s="231"/>
      <c r="AK65" s="231"/>
      <c r="AL65" s="232"/>
      <c r="AO65" s="51"/>
    </row>
    <row r="66" spans="1:41" ht="11.45" customHeight="1">
      <c r="A66" s="229">
        <v>57</v>
      </c>
      <c r="B66" s="105" t="s">
        <v>320</v>
      </c>
      <c r="C66" s="230">
        <f t="shared" si="19"/>
        <v>1330.9</v>
      </c>
      <c r="D66" s="231">
        <f t="shared" si="19"/>
        <v>1060.8999999999999</v>
      </c>
      <c r="E66" s="231">
        <f t="shared" si="1"/>
        <v>79.712976181531275</v>
      </c>
      <c r="F66" s="231">
        <f t="shared" si="2"/>
        <v>-270.00000000000023</v>
      </c>
      <c r="G66" s="231">
        <f t="shared" si="20"/>
        <v>259.59999999999997</v>
      </c>
      <c r="H66" s="231">
        <f t="shared" si="20"/>
        <v>240.3</v>
      </c>
      <c r="I66" s="231">
        <f t="shared" si="4"/>
        <v>92.565485362095544</v>
      </c>
      <c r="J66" s="232">
        <f t="shared" si="5"/>
        <v>-19.299999999999955</v>
      </c>
      <c r="K66" s="230">
        <f>10.7+33.7+264.1+182.1</f>
        <v>490.6</v>
      </c>
      <c r="L66" s="231">
        <v>371</v>
      </c>
      <c r="M66" s="231">
        <f t="shared" si="6"/>
        <v>75.621687729311049</v>
      </c>
      <c r="N66" s="231">
        <f t="shared" si="7"/>
        <v>-119.60000000000002</v>
      </c>
      <c r="O66" s="231">
        <f>2.7+71.1+122.6</f>
        <v>196.39999999999998</v>
      </c>
      <c r="P66" s="231">
        <v>166.3</v>
      </c>
      <c r="Q66" s="231">
        <f t="shared" si="21"/>
        <v>84.674134419551947</v>
      </c>
      <c r="R66" s="232">
        <f t="shared" si="9"/>
        <v>-30.099999999999966</v>
      </c>
      <c r="S66" s="233"/>
      <c r="T66" s="231"/>
      <c r="U66" s="231"/>
      <c r="V66" s="234"/>
      <c r="W66" s="230">
        <f>745.7+15.5+31.2+0.5+22.1+2.7</f>
        <v>817.70000000000016</v>
      </c>
      <c r="X66" s="231">
        <f>24.9+571.9+30.2+28.8+3.3</f>
        <v>659.09999999999991</v>
      </c>
      <c r="Y66" s="231">
        <f t="shared" si="22"/>
        <v>80.604133545309992</v>
      </c>
      <c r="Z66" s="231">
        <f t="shared" si="23"/>
        <v>-158.60000000000025</v>
      </c>
      <c r="AA66" s="231">
        <f>9.6+11.8+20.9+0.4+16.1</f>
        <v>58.8</v>
      </c>
      <c r="AB66" s="231">
        <f>19+13.1+20.9+21</f>
        <v>74</v>
      </c>
      <c r="AC66" s="231">
        <f t="shared" si="24"/>
        <v>125.85034013605443</v>
      </c>
      <c r="AD66" s="232">
        <f t="shared" si="25"/>
        <v>15.200000000000003</v>
      </c>
      <c r="AE66" s="230">
        <f>2.2+2.6+17.8</f>
        <v>22.6</v>
      </c>
      <c r="AF66" s="231">
        <f>6.1+24.7</f>
        <v>30.799999999999997</v>
      </c>
      <c r="AG66" s="231">
        <f t="shared" si="26"/>
        <v>136.28318584070794</v>
      </c>
      <c r="AH66" s="231">
        <f t="shared" si="27"/>
        <v>8.1999999999999957</v>
      </c>
      <c r="AI66" s="231">
        <f>3.1+1.3</f>
        <v>4.4000000000000004</v>
      </c>
      <c r="AJ66" s="231"/>
      <c r="AK66" s="231"/>
      <c r="AL66" s="232">
        <f>+AJ66-AI66</f>
        <v>-4.4000000000000004</v>
      </c>
      <c r="AO66" s="51"/>
    </row>
    <row r="67" spans="1:41" ht="11.45" customHeight="1">
      <c r="A67" s="229">
        <v>58</v>
      </c>
      <c r="B67" s="105" t="s">
        <v>321</v>
      </c>
      <c r="C67" s="230">
        <f t="shared" ref="C67:D73" si="28">+K67+W67+AE67</f>
        <v>1386.8</v>
      </c>
      <c r="D67" s="231">
        <f t="shared" si="28"/>
        <v>1209.3000000000002</v>
      </c>
      <c r="E67" s="231">
        <f t="shared" si="1"/>
        <v>87.200749927891565</v>
      </c>
      <c r="F67" s="231">
        <f t="shared" si="2"/>
        <v>-177.49999999999977</v>
      </c>
      <c r="G67" s="231">
        <f t="shared" si="20"/>
        <v>280.29999999999995</v>
      </c>
      <c r="H67" s="231">
        <f t="shared" si="20"/>
        <v>289.89999999999998</v>
      </c>
      <c r="I67" s="231">
        <f t="shared" si="4"/>
        <v>103.42490189083126</v>
      </c>
      <c r="J67" s="232">
        <f t="shared" si="5"/>
        <v>9.6000000000000227</v>
      </c>
      <c r="K67" s="230">
        <f>39.2+7.7+36.4+102.9+161.8</f>
        <v>348</v>
      </c>
      <c r="L67" s="231">
        <v>382.2</v>
      </c>
      <c r="M67" s="231">
        <f>+L67/K67*100</f>
        <v>109.82758620689654</v>
      </c>
      <c r="N67" s="231">
        <f t="shared" si="7"/>
        <v>34.199999999999989</v>
      </c>
      <c r="O67" s="231">
        <f>29.9+5.9+46.9+100.1</f>
        <v>182.79999999999998</v>
      </c>
      <c r="P67" s="231">
        <v>201.7</v>
      </c>
      <c r="Q67" s="231">
        <f t="shared" si="21"/>
        <v>110.33916849015317</v>
      </c>
      <c r="R67" s="232">
        <f t="shared" si="9"/>
        <v>18.900000000000006</v>
      </c>
      <c r="S67" s="233"/>
      <c r="T67" s="231"/>
      <c r="U67" s="231"/>
      <c r="V67" s="234"/>
      <c r="W67" s="230">
        <f>904.4+32.3+33.9+0.5+51.2+4.1</f>
        <v>1026.3999999999999</v>
      </c>
      <c r="X67" s="231">
        <f>24.8+703.7+32.6+35+5.1</f>
        <v>801.2</v>
      </c>
      <c r="Y67" s="231">
        <f t="shared" si="22"/>
        <v>78.059236165237749</v>
      </c>
      <c r="Z67" s="231">
        <f t="shared" si="23"/>
        <v>-225.19999999999982</v>
      </c>
      <c r="AA67" s="231">
        <f>12.6+24.7+22.5+0.4+37.3</f>
        <v>97.5</v>
      </c>
      <c r="AB67" s="231">
        <f>19+21.2+22.5+25.5</f>
        <v>88.2</v>
      </c>
      <c r="AC67" s="231">
        <f t="shared" si="24"/>
        <v>90.461538461538453</v>
      </c>
      <c r="AD67" s="232">
        <f t="shared" si="25"/>
        <v>-9.2999999999999972</v>
      </c>
      <c r="AE67" s="230">
        <f>6.6+5.8</f>
        <v>12.399999999999999</v>
      </c>
      <c r="AF67" s="231">
        <f>10.8+15.1</f>
        <v>25.9</v>
      </c>
      <c r="AG67" s="231" t="s">
        <v>322</v>
      </c>
      <c r="AH67" s="231">
        <f t="shared" si="27"/>
        <v>13.5</v>
      </c>
      <c r="AI67" s="231"/>
      <c r="AJ67" s="231"/>
      <c r="AK67" s="231"/>
      <c r="AL67" s="232"/>
      <c r="AO67" s="51"/>
    </row>
    <row r="68" spans="1:41" ht="11.45" customHeight="1">
      <c r="A68" s="229">
        <v>59</v>
      </c>
      <c r="B68" s="105" t="s">
        <v>323</v>
      </c>
      <c r="C68" s="230">
        <f t="shared" si="28"/>
        <v>1179.3</v>
      </c>
      <c r="D68" s="231">
        <f t="shared" si="28"/>
        <v>1067.6000000000001</v>
      </c>
      <c r="E68" s="231">
        <f t="shared" si="1"/>
        <v>90.528279487831782</v>
      </c>
      <c r="F68" s="231">
        <f t="shared" si="2"/>
        <v>-111.69999999999982</v>
      </c>
      <c r="G68" s="231">
        <f t="shared" si="20"/>
        <v>241.7</v>
      </c>
      <c r="H68" s="231">
        <f t="shared" si="20"/>
        <v>260.5</v>
      </c>
      <c r="I68" s="231">
        <f t="shared" si="4"/>
        <v>107.77823748448489</v>
      </c>
      <c r="J68" s="232">
        <f t="shared" si="5"/>
        <v>18.800000000000011</v>
      </c>
      <c r="K68" s="230">
        <f>13.8+21+143.3+208.8</f>
        <v>386.90000000000003</v>
      </c>
      <c r="L68" s="231">
        <v>426.5</v>
      </c>
      <c r="M68" s="231">
        <f>+L68/K68*100</f>
        <v>110.23520289480484</v>
      </c>
      <c r="N68" s="231">
        <f t="shared" si="7"/>
        <v>39.599999999999966</v>
      </c>
      <c r="O68" s="231">
        <f>10.3+49.1+112.5</f>
        <v>171.9</v>
      </c>
      <c r="P68" s="231">
        <v>184.2</v>
      </c>
      <c r="Q68" s="231">
        <f t="shared" si="21"/>
        <v>107.15532286212914</v>
      </c>
      <c r="R68" s="232">
        <f t="shared" si="9"/>
        <v>12.299999999999983</v>
      </c>
      <c r="S68" s="233"/>
      <c r="T68" s="231"/>
      <c r="U68" s="231"/>
      <c r="V68" s="234"/>
      <c r="W68" s="230">
        <f>688.9+19.9+19.2+0.5+44.1+3.3</f>
        <v>775.9</v>
      </c>
      <c r="X68" s="231">
        <f>24.9+537.3+18.4+41.1+4.2</f>
        <v>625.9</v>
      </c>
      <c r="Y68" s="231">
        <f t="shared" si="22"/>
        <v>80.667611805645052</v>
      </c>
      <c r="Z68" s="231">
        <f t="shared" si="23"/>
        <v>-150</v>
      </c>
      <c r="AA68" s="231">
        <f>9.1+15.2+12.9+0.4+32.2</f>
        <v>69.8</v>
      </c>
      <c r="AB68" s="231">
        <f>19+14.5+12.9+29.9</f>
        <v>76.3</v>
      </c>
      <c r="AC68" s="231">
        <f t="shared" si="24"/>
        <v>109.31232091690543</v>
      </c>
      <c r="AD68" s="232">
        <f t="shared" si="25"/>
        <v>6.5</v>
      </c>
      <c r="AE68" s="230">
        <f>12.7+3.8</f>
        <v>16.5</v>
      </c>
      <c r="AF68" s="231">
        <f>3.6+11.6</f>
        <v>15.2</v>
      </c>
      <c r="AG68" s="231">
        <f t="shared" si="26"/>
        <v>92.12121212121211</v>
      </c>
      <c r="AH68" s="231">
        <f t="shared" si="27"/>
        <v>-1.3000000000000007</v>
      </c>
      <c r="AI68" s="231"/>
      <c r="AJ68" s="231"/>
      <c r="AK68" s="231"/>
      <c r="AL68" s="232"/>
      <c r="AO68" s="51"/>
    </row>
    <row r="69" spans="1:41" ht="11.45" customHeight="1">
      <c r="A69" s="229">
        <v>60</v>
      </c>
      <c r="B69" s="105" t="s">
        <v>324</v>
      </c>
      <c r="C69" s="230">
        <f t="shared" si="28"/>
        <v>623.49999999999989</v>
      </c>
      <c r="D69" s="231">
        <f t="shared" si="28"/>
        <v>582.69999999999993</v>
      </c>
      <c r="E69" s="231">
        <f t="shared" si="1"/>
        <v>93.456295108259837</v>
      </c>
      <c r="F69" s="231">
        <f t="shared" si="2"/>
        <v>-40.799999999999955</v>
      </c>
      <c r="G69" s="231">
        <f t="shared" si="20"/>
        <v>169.5</v>
      </c>
      <c r="H69" s="231">
        <f t="shared" si="20"/>
        <v>183</v>
      </c>
      <c r="I69" s="231">
        <f t="shared" si="4"/>
        <v>107.9646017699115</v>
      </c>
      <c r="J69" s="232">
        <f t="shared" si="5"/>
        <v>13.5</v>
      </c>
      <c r="K69" s="230">
        <f>17.7+16.8+44.3+162</f>
        <v>240.8</v>
      </c>
      <c r="L69" s="231">
        <v>260.7</v>
      </c>
      <c r="M69" s="231">
        <f t="shared" ref="M69:M113" si="29">+L69/K69*100</f>
        <v>108.26411960132889</v>
      </c>
      <c r="N69" s="231">
        <f t="shared" si="7"/>
        <v>19.899999999999977</v>
      </c>
      <c r="O69" s="231">
        <f>12.3+21.5+89.1</f>
        <v>122.89999999999999</v>
      </c>
      <c r="P69" s="231">
        <v>126.5</v>
      </c>
      <c r="Q69" s="231">
        <f t="shared" si="21"/>
        <v>102.92921074043939</v>
      </c>
      <c r="R69" s="232">
        <f t="shared" si="9"/>
        <v>3.6000000000000085</v>
      </c>
      <c r="S69" s="233"/>
      <c r="T69" s="231"/>
      <c r="U69" s="231"/>
      <c r="V69" s="234"/>
      <c r="W69" s="230">
        <f>320+15.5+19.2+0.5+22.2+0.4</f>
        <v>377.79999999999995</v>
      </c>
      <c r="X69" s="231">
        <f>24.9+250.3+18.4+22.5+0.5</f>
        <v>316.59999999999997</v>
      </c>
      <c r="Y69" s="231">
        <f t="shared" si="22"/>
        <v>83.800952885124403</v>
      </c>
      <c r="Z69" s="231">
        <f t="shared" si="23"/>
        <v>-61.199999999999989</v>
      </c>
      <c r="AA69" s="231">
        <f>4.9+11.8+12.9+0.4+16.6</f>
        <v>46.6</v>
      </c>
      <c r="AB69" s="231">
        <f>19+8.2+12.9+16.4</f>
        <v>56.5</v>
      </c>
      <c r="AC69" s="231">
        <f t="shared" si="24"/>
        <v>121.24463519313305</v>
      </c>
      <c r="AD69" s="232">
        <f t="shared" si="25"/>
        <v>9.8999999999999986</v>
      </c>
      <c r="AE69" s="230">
        <f>2.2+2.7</f>
        <v>4.9000000000000004</v>
      </c>
      <c r="AF69" s="231">
        <f>2.9+2.5</f>
        <v>5.4</v>
      </c>
      <c r="AG69" s="231">
        <f t="shared" si="26"/>
        <v>110.20408163265304</v>
      </c>
      <c r="AH69" s="231">
        <f t="shared" si="27"/>
        <v>0.5</v>
      </c>
      <c r="AI69" s="231"/>
      <c r="AJ69" s="231"/>
      <c r="AK69" s="231"/>
      <c r="AL69" s="232"/>
      <c r="AO69" s="51"/>
    </row>
    <row r="70" spans="1:41" ht="11.45" customHeight="1">
      <c r="A70" s="229">
        <v>61</v>
      </c>
      <c r="B70" s="105" t="s">
        <v>325</v>
      </c>
      <c r="C70" s="230">
        <f t="shared" si="28"/>
        <v>742.80000000000007</v>
      </c>
      <c r="D70" s="231">
        <f t="shared" si="28"/>
        <v>708.5</v>
      </c>
      <c r="E70" s="231">
        <f t="shared" si="1"/>
        <v>95.382337102854052</v>
      </c>
      <c r="F70" s="231">
        <f t="shared" si="2"/>
        <v>-34.300000000000068</v>
      </c>
      <c r="G70" s="231">
        <f t="shared" si="20"/>
        <v>203.3</v>
      </c>
      <c r="H70" s="231">
        <f t="shared" si="20"/>
        <v>222.6</v>
      </c>
      <c r="I70" s="231">
        <f>+H70/G70*100</f>
        <v>109.49335956714215</v>
      </c>
      <c r="J70" s="232">
        <f>+H70-G70</f>
        <v>19.299999999999983</v>
      </c>
      <c r="K70" s="230">
        <f>31.2+18.9+58.1+177.9</f>
        <v>286.10000000000002</v>
      </c>
      <c r="L70" s="231">
        <v>328.6</v>
      </c>
      <c r="M70" s="231">
        <f t="shared" si="29"/>
        <v>114.85494582313875</v>
      </c>
      <c r="N70" s="231">
        <f t="shared" si="7"/>
        <v>42.5</v>
      </c>
      <c r="O70" s="231">
        <f>24.6+32.9+97.9</f>
        <v>155.4</v>
      </c>
      <c r="P70" s="231">
        <v>169.1</v>
      </c>
      <c r="Q70" s="231">
        <f t="shared" si="21"/>
        <v>108.81595881595881</v>
      </c>
      <c r="R70" s="232">
        <f>+P70-O70</f>
        <v>13.699999999999989</v>
      </c>
      <c r="S70" s="233"/>
      <c r="T70" s="231"/>
      <c r="U70" s="231"/>
      <c r="V70" s="234"/>
      <c r="W70" s="230">
        <f>371.7+19.9+16.8+0.5+20+1.6</f>
        <v>430.5</v>
      </c>
      <c r="X70" s="231">
        <f>24.9+284.4+16.1+22.5+1.9</f>
        <v>349.79999999999995</v>
      </c>
      <c r="Y70" s="231">
        <f t="shared" si="22"/>
        <v>81.254355400696852</v>
      </c>
      <c r="Z70" s="231">
        <f t="shared" si="23"/>
        <v>-80.700000000000045</v>
      </c>
      <c r="AA70" s="231">
        <f>4.4+15.2+11.3+0.4+14.6</f>
        <v>45.9</v>
      </c>
      <c r="AB70" s="231">
        <f>19+6.8+11.3+16.4</f>
        <v>53.5</v>
      </c>
      <c r="AC70" s="231">
        <f t="shared" si="24"/>
        <v>116.55773420479304</v>
      </c>
      <c r="AD70" s="232">
        <f t="shared" si="25"/>
        <v>7.6000000000000014</v>
      </c>
      <c r="AE70" s="230">
        <f>9+6.5+10.7</f>
        <v>26.2</v>
      </c>
      <c r="AF70" s="231">
        <f>9.9+20.2</f>
        <v>30.1</v>
      </c>
      <c r="AG70" s="231">
        <f t="shared" si="26"/>
        <v>114.88549618320612</v>
      </c>
      <c r="AH70" s="231">
        <f t="shared" si="27"/>
        <v>3.9000000000000021</v>
      </c>
      <c r="AI70" s="231">
        <v>2</v>
      </c>
      <c r="AJ70" s="231"/>
      <c r="AK70" s="231"/>
      <c r="AL70" s="232">
        <f>+AJ70-AI70</f>
        <v>-2</v>
      </c>
      <c r="AO70" s="51"/>
    </row>
    <row r="71" spans="1:41" ht="11.45" customHeight="1">
      <c r="A71" s="229">
        <v>62</v>
      </c>
      <c r="B71" s="105" t="s">
        <v>326</v>
      </c>
      <c r="C71" s="230">
        <f t="shared" si="28"/>
        <v>1123.4000000000001</v>
      </c>
      <c r="D71" s="231">
        <f t="shared" si="28"/>
        <v>1010.5</v>
      </c>
      <c r="E71" s="231">
        <f t="shared" si="1"/>
        <v>89.950151326330769</v>
      </c>
      <c r="F71" s="231">
        <f t="shared" si="2"/>
        <v>-112.90000000000009</v>
      </c>
      <c r="G71" s="231">
        <f t="shared" si="20"/>
        <v>269</v>
      </c>
      <c r="H71" s="231">
        <f t="shared" si="20"/>
        <v>293.29999999999995</v>
      </c>
      <c r="I71" s="231">
        <f>+H71/G71*100</f>
        <v>109.03345724907061</v>
      </c>
      <c r="J71" s="232">
        <f>+H71-G71</f>
        <v>24.299999999999955</v>
      </c>
      <c r="K71" s="230">
        <f>11.9+23.6+84.5+348</f>
        <v>468</v>
      </c>
      <c r="L71" s="231">
        <v>484.5</v>
      </c>
      <c r="M71" s="231">
        <f t="shared" si="29"/>
        <v>103.52564102564104</v>
      </c>
      <c r="N71" s="231">
        <f t="shared" si="7"/>
        <v>16.5</v>
      </c>
      <c r="O71" s="231">
        <f>9.1+30.8+173.3</f>
        <v>213.20000000000002</v>
      </c>
      <c r="P71" s="231">
        <v>229.2</v>
      </c>
      <c r="Q71" s="231">
        <f t="shared" si="21"/>
        <v>107.50469043151969</v>
      </c>
      <c r="R71" s="232">
        <f>+P71-O71</f>
        <v>15.999999999999972</v>
      </c>
      <c r="S71" s="233"/>
      <c r="T71" s="231"/>
      <c r="U71" s="231"/>
      <c r="V71" s="234"/>
      <c r="W71" s="230">
        <f>573.8+22.4+21.7+0.5+20+0.5</f>
        <v>638.9</v>
      </c>
      <c r="X71" s="231">
        <f>24.9+440.7+20.8+22.5+0.6</f>
        <v>509.5</v>
      </c>
      <c r="Y71" s="231">
        <f t="shared" si="22"/>
        <v>79.746439192361876</v>
      </c>
      <c r="Z71" s="231">
        <f t="shared" si="23"/>
        <v>-129.39999999999998</v>
      </c>
      <c r="AA71" s="231">
        <f>9.1+17.1+14.6+0.4+14.6</f>
        <v>55.800000000000004</v>
      </c>
      <c r="AB71" s="231">
        <f>19+14.2+14.5+16.4</f>
        <v>64.099999999999994</v>
      </c>
      <c r="AC71" s="231">
        <f t="shared" si="24"/>
        <v>114.87455197132614</v>
      </c>
      <c r="AD71" s="232">
        <f t="shared" si="25"/>
        <v>8.2999999999999901</v>
      </c>
      <c r="AE71" s="230">
        <f>3.4+7.9+5.2</f>
        <v>16.5</v>
      </c>
      <c r="AF71" s="231">
        <f>7+9.5</f>
        <v>16.5</v>
      </c>
      <c r="AG71" s="231">
        <f t="shared" si="26"/>
        <v>100</v>
      </c>
      <c r="AH71" s="231">
        <f t="shared" si="27"/>
        <v>0</v>
      </c>
      <c r="AI71" s="231"/>
      <c r="AJ71" s="231"/>
      <c r="AK71" s="231"/>
      <c r="AL71" s="232"/>
      <c r="AO71" s="51"/>
    </row>
    <row r="72" spans="1:41" ht="11.45" customHeight="1">
      <c r="A72" s="229">
        <v>63</v>
      </c>
      <c r="B72" s="105" t="s">
        <v>327</v>
      </c>
      <c r="C72" s="230">
        <f t="shared" si="28"/>
        <v>825.39999999999986</v>
      </c>
      <c r="D72" s="231">
        <f t="shared" si="28"/>
        <v>700.7</v>
      </c>
      <c r="E72" s="231">
        <f t="shared" si="1"/>
        <v>84.892173491640435</v>
      </c>
      <c r="F72" s="231">
        <f t="shared" si="2"/>
        <v>-124.69999999999982</v>
      </c>
      <c r="G72" s="231">
        <f t="shared" si="20"/>
        <v>207.6</v>
      </c>
      <c r="H72" s="231">
        <f t="shared" si="20"/>
        <v>212</v>
      </c>
      <c r="I72" s="231">
        <f>+H72/G72*100</f>
        <v>102.11946050096338</v>
      </c>
      <c r="J72" s="232">
        <f>+H72-G72</f>
        <v>4.4000000000000057</v>
      </c>
      <c r="K72" s="230">
        <f>16+21.7+80.5+212</f>
        <v>330.2</v>
      </c>
      <c r="L72" s="231">
        <v>304.89999999999998</v>
      </c>
      <c r="M72" s="231">
        <f t="shared" si="29"/>
        <v>92.337976983646271</v>
      </c>
      <c r="N72" s="231">
        <f t="shared" si="7"/>
        <v>-25.300000000000011</v>
      </c>
      <c r="O72" s="231">
        <f>12.2+36.6+107.8</f>
        <v>156.6</v>
      </c>
      <c r="P72" s="231">
        <v>155.80000000000001</v>
      </c>
      <c r="Q72" s="231">
        <f t="shared" si="21"/>
        <v>99.489144316730531</v>
      </c>
      <c r="R72" s="232">
        <f>+P72-O72</f>
        <v>-0.79999999999998295</v>
      </c>
      <c r="S72" s="233"/>
      <c r="T72" s="231"/>
      <c r="U72" s="231"/>
      <c r="V72" s="234"/>
      <c r="W72" s="230">
        <f>420.2+22.4+19.2+0.5+19+1.9</f>
        <v>483.19999999999993</v>
      </c>
      <c r="X72" s="231">
        <f>24.9+317.8+18.4+20.2+2.3</f>
        <v>383.59999999999997</v>
      </c>
      <c r="Y72" s="231">
        <f t="shared" si="22"/>
        <v>79.38741721854305</v>
      </c>
      <c r="Z72" s="231">
        <f t="shared" si="23"/>
        <v>-99.599999999999966</v>
      </c>
      <c r="AA72" s="231">
        <f>6.8+17.1+12.9+0.4+13.8</f>
        <v>51</v>
      </c>
      <c r="AB72" s="231">
        <f>19+9.6+12.9+14.7</f>
        <v>56.2</v>
      </c>
      <c r="AC72" s="231">
        <f t="shared" si="24"/>
        <v>110.19607843137256</v>
      </c>
      <c r="AD72" s="232">
        <f t="shared" si="25"/>
        <v>5.2000000000000028</v>
      </c>
      <c r="AE72" s="230">
        <f>1.8+4.5+5.7</f>
        <v>12</v>
      </c>
      <c r="AF72" s="231">
        <f>4+8.2</f>
        <v>12.2</v>
      </c>
      <c r="AG72" s="231">
        <f t="shared" si="26"/>
        <v>101.66666666666666</v>
      </c>
      <c r="AH72" s="231">
        <f t="shared" si="27"/>
        <v>0.19999999999999929</v>
      </c>
      <c r="AI72" s="231"/>
      <c r="AJ72" s="231"/>
      <c r="AK72" s="231"/>
      <c r="AL72" s="232"/>
      <c r="AO72" s="51"/>
    </row>
    <row r="73" spans="1:41" ht="11.45" customHeight="1">
      <c r="A73" s="229">
        <v>64</v>
      </c>
      <c r="B73" s="105" t="s">
        <v>328</v>
      </c>
      <c r="C73" s="230">
        <f t="shared" si="28"/>
        <v>1243.3</v>
      </c>
      <c r="D73" s="231">
        <f t="shared" si="28"/>
        <v>1168.9000000000001</v>
      </c>
      <c r="E73" s="231">
        <f>+D73/C73*100</f>
        <v>94.015925359929227</v>
      </c>
      <c r="F73" s="231">
        <f>+D73-C73</f>
        <v>-74.399999999999864</v>
      </c>
      <c r="G73" s="231">
        <f t="shared" si="20"/>
        <v>295.8</v>
      </c>
      <c r="H73" s="231">
        <f t="shared" si="20"/>
        <v>324.89999999999998</v>
      </c>
      <c r="I73" s="231">
        <f>+H73/G73*100</f>
        <v>109.83772819472615</v>
      </c>
      <c r="J73" s="232">
        <f>+H73-G73</f>
        <v>29.099999999999966</v>
      </c>
      <c r="K73" s="230">
        <f>32+26.9+27.8+180.4+214.1</f>
        <v>481.20000000000005</v>
      </c>
      <c r="L73" s="231">
        <v>548.9</v>
      </c>
      <c r="M73" s="231">
        <f>+L73/K73*100</f>
        <v>114.06899418121361</v>
      </c>
      <c r="N73" s="231">
        <f>+L73-K73</f>
        <v>67.699999999999932</v>
      </c>
      <c r="O73" s="231">
        <f>12.9+20.5+70.5+110.7</f>
        <v>214.60000000000002</v>
      </c>
      <c r="P73" s="231">
        <v>232.8</v>
      </c>
      <c r="Q73" s="231">
        <f t="shared" si="21"/>
        <v>108.48089468779123</v>
      </c>
      <c r="R73" s="232">
        <f>+P73-O73</f>
        <v>18.199999999999989</v>
      </c>
      <c r="S73" s="233"/>
      <c r="T73" s="231"/>
      <c r="U73" s="231"/>
      <c r="V73" s="234"/>
      <c r="W73" s="230">
        <f>638.9+27.4+26.8+0.5+41.9+4.9</f>
        <v>740.39999999999986</v>
      </c>
      <c r="X73" s="231">
        <f>24.9+501.9+25.7+47.5+6.1</f>
        <v>606.1</v>
      </c>
      <c r="Y73" s="231">
        <f t="shared" si="22"/>
        <v>81.86115613182065</v>
      </c>
      <c r="Z73" s="231">
        <f t="shared" si="23"/>
        <v>-134.29999999999984</v>
      </c>
      <c r="AA73" s="231">
        <f>11.7+20.9+17.7+0.4+30.5</f>
        <v>81.199999999999989</v>
      </c>
      <c r="AB73" s="231">
        <f>19+20.8+17.7+34.6</f>
        <v>92.1</v>
      </c>
      <c r="AC73" s="231">
        <f t="shared" si="24"/>
        <v>113.42364532019707</v>
      </c>
      <c r="AD73" s="232">
        <f t="shared" si="25"/>
        <v>10.900000000000006</v>
      </c>
      <c r="AE73" s="230">
        <f>18.2+3.5</f>
        <v>21.7</v>
      </c>
      <c r="AF73" s="231">
        <f>3.8+10.1</f>
        <v>13.899999999999999</v>
      </c>
      <c r="AG73" s="231">
        <f t="shared" si="26"/>
        <v>64.055299539170505</v>
      </c>
      <c r="AH73" s="231">
        <f t="shared" si="27"/>
        <v>-7.8000000000000007</v>
      </c>
      <c r="AI73" s="231"/>
      <c r="AJ73" s="231"/>
      <c r="AK73" s="231"/>
      <c r="AL73" s="232"/>
      <c r="AO73" s="51"/>
    </row>
    <row r="74" spans="1:41" s="72" customFormat="1" ht="11.45" customHeight="1">
      <c r="A74" s="235">
        <v>65</v>
      </c>
      <c r="B74" s="109" t="s">
        <v>329</v>
      </c>
      <c r="C74" s="236">
        <f>SUM(C10:C73)</f>
        <v>104990.8</v>
      </c>
      <c r="D74" s="237">
        <f>SUM(D10:D73)</f>
        <v>102195.49999999996</v>
      </c>
      <c r="E74" s="237">
        <f>+D74/C74*100</f>
        <v>97.33757624477569</v>
      </c>
      <c r="F74" s="237">
        <f>SUM(F10:F73)</f>
        <v>-2795.2999999999965</v>
      </c>
      <c r="G74" s="237">
        <f>SUM(G10:G73)</f>
        <v>54708.3</v>
      </c>
      <c r="H74" s="237">
        <f>SUM(H10:H73)</f>
        <v>55600.200000000004</v>
      </c>
      <c r="I74" s="237">
        <f>+H74/G74*100</f>
        <v>101.63028279072827</v>
      </c>
      <c r="J74" s="238">
        <f>SUM(J10:J73)</f>
        <v>891.90000000000032</v>
      </c>
      <c r="K74" s="236">
        <f>SUM(K10:K73)</f>
        <v>40883.299999999988</v>
      </c>
      <c r="L74" s="237">
        <f>SUM(L10:L73)</f>
        <v>42688.599999999991</v>
      </c>
      <c r="M74" s="237">
        <f>+L74/K74*100</f>
        <v>104.41573943394982</v>
      </c>
      <c r="N74" s="237">
        <f>SUM(N10:N73)</f>
        <v>1805.3000000000011</v>
      </c>
      <c r="O74" s="237">
        <f>SUM(O10:O73)</f>
        <v>21956.700000000004</v>
      </c>
      <c r="P74" s="237">
        <f>SUM(P10:P73)</f>
        <v>23321.399999999998</v>
      </c>
      <c r="Q74" s="237">
        <f t="shared" si="21"/>
        <v>106.21541488475042</v>
      </c>
      <c r="R74" s="238">
        <f t="shared" ref="R74:X74" si="30">SUM(R10:R73)</f>
        <v>1364.6999999999998</v>
      </c>
      <c r="S74" s="239">
        <f t="shared" si="30"/>
        <v>0</v>
      </c>
      <c r="T74" s="237">
        <f t="shared" si="30"/>
        <v>0</v>
      </c>
      <c r="U74" s="237">
        <f t="shared" si="30"/>
        <v>0</v>
      </c>
      <c r="V74" s="240">
        <f t="shared" si="30"/>
        <v>0</v>
      </c>
      <c r="W74" s="236">
        <f t="shared" si="30"/>
        <v>59475.000000000007</v>
      </c>
      <c r="X74" s="237">
        <f t="shared" si="30"/>
        <v>54967.499999999993</v>
      </c>
      <c r="Y74" s="237">
        <f t="shared" si="22"/>
        <v>92.421185372005027</v>
      </c>
      <c r="Z74" s="237">
        <f>SUM(Z10:Z73)</f>
        <v>-4507.5</v>
      </c>
      <c r="AA74" s="237">
        <f>SUM(AA10:AA73)</f>
        <v>32426.099999999995</v>
      </c>
      <c r="AB74" s="237">
        <f>SUM(AB10:AB73)</f>
        <v>31959.80000000001</v>
      </c>
      <c r="AC74" s="237">
        <f t="shared" si="24"/>
        <v>98.561960889530397</v>
      </c>
      <c r="AD74" s="238">
        <f>SUM(AD10:AD73)</f>
        <v>-466.2999999999995</v>
      </c>
      <c r="AE74" s="236">
        <f>SUM(AE10:AE73)</f>
        <v>4632.5</v>
      </c>
      <c r="AF74" s="237">
        <f>SUM(AF10:AF73)</f>
        <v>4539.3999999999987</v>
      </c>
      <c r="AG74" s="237">
        <f t="shared" si="26"/>
        <v>97.990286022665913</v>
      </c>
      <c r="AH74" s="237">
        <f>SUM(AH10:AH73)</f>
        <v>-93.100000000000151</v>
      </c>
      <c r="AI74" s="237">
        <f>SUM(AI10:AI73)</f>
        <v>325.5</v>
      </c>
      <c r="AJ74" s="237">
        <f>SUM(AJ10:AJ73)</f>
        <v>319</v>
      </c>
      <c r="AK74" s="237">
        <f>+AJ74/AI74*100</f>
        <v>98.003072196620593</v>
      </c>
      <c r="AL74" s="238">
        <f>SUM(AL10:AL73)</f>
        <v>-6.5000000000000018</v>
      </c>
      <c r="AM74" s="239">
        <f>SUM(AM10:AM73)</f>
        <v>0</v>
      </c>
      <c r="AN74" s="241"/>
    </row>
    <row r="75" spans="1:41" ht="12.95" customHeight="1">
      <c r="A75" s="229">
        <v>66</v>
      </c>
      <c r="B75" s="110" t="s">
        <v>330</v>
      </c>
      <c r="C75" s="230">
        <f t="shared" ref="C75:D90" si="31">+K75+W75+AE75</f>
        <v>50</v>
      </c>
      <c r="D75" s="231">
        <f t="shared" si="31"/>
        <v>40</v>
      </c>
      <c r="E75" s="231">
        <f t="shared" ref="E75:E115" si="32">+D75/C75*100</f>
        <v>80</v>
      </c>
      <c r="F75" s="231">
        <f t="shared" ref="F75:F114" si="33">+D75-C75</f>
        <v>-10</v>
      </c>
      <c r="G75" s="231"/>
      <c r="H75" s="231"/>
      <c r="I75" s="231"/>
      <c r="J75" s="232"/>
      <c r="K75" s="230">
        <v>50</v>
      </c>
      <c r="L75" s="231">
        <v>40</v>
      </c>
      <c r="M75" s="231">
        <f t="shared" si="29"/>
        <v>80</v>
      </c>
      <c r="N75" s="231">
        <f t="shared" ref="N75:N113" si="34">+L75-K75</f>
        <v>-10</v>
      </c>
      <c r="O75" s="231"/>
      <c r="P75" s="231"/>
      <c r="Q75" s="231"/>
      <c r="R75" s="232"/>
      <c r="S75" s="233"/>
      <c r="T75" s="231"/>
      <c r="U75" s="231"/>
      <c r="V75" s="234"/>
      <c r="W75" s="230"/>
      <c r="X75" s="231"/>
      <c r="Y75" s="231"/>
      <c r="Z75" s="231"/>
      <c r="AA75" s="231"/>
      <c r="AB75" s="231"/>
      <c r="AC75" s="231"/>
      <c r="AD75" s="232"/>
      <c r="AE75" s="230"/>
      <c r="AF75" s="231"/>
      <c r="AG75" s="231"/>
      <c r="AH75" s="231"/>
      <c r="AI75" s="231"/>
      <c r="AJ75" s="231"/>
      <c r="AK75" s="231"/>
      <c r="AL75" s="232"/>
      <c r="AM75" s="51"/>
    </row>
    <row r="76" spans="1:41" ht="10.5" customHeight="1">
      <c r="A76" s="229">
        <v>67</v>
      </c>
      <c r="B76" s="110" t="s">
        <v>331</v>
      </c>
      <c r="C76" s="230">
        <f t="shared" si="31"/>
        <v>50</v>
      </c>
      <c r="D76" s="231">
        <f t="shared" si="31"/>
        <v>50</v>
      </c>
      <c r="E76" s="231">
        <f t="shared" si="32"/>
        <v>100</v>
      </c>
      <c r="F76" s="231">
        <f t="shared" si="33"/>
        <v>0</v>
      </c>
      <c r="G76" s="231"/>
      <c r="H76" s="231"/>
      <c r="I76" s="231"/>
      <c r="J76" s="232"/>
      <c r="K76" s="230">
        <v>50</v>
      </c>
      <c r="L76" s="231">
        <v>50</v>
      </c>
      <c r="M76" s="231">
        <f t="shared" si="29"/>
        <v>100</v>
      </c>
      <c r="N76" s="231">
        <f t="shared" si="34"/>
        <v>0</v>
      </c>
      <c r="O76" s="231"/>
      <c r="P76" s="231"/>
      <c r="Q76" s="231"/>
      <c r="R76" s="232"/>
      <c r="S76" s="233"/>
      <c r="T76" s="231"/>
      <c r="U76" s="231"/>
      <c r="V76" s="234"/>
      <c r="W76" s="230"/>
      <c r="X76" s="231"/>
      <c r="Y76" s="231"/>
      <c r="Z76" s="231"/>
      <c r="AA76" s="231"/>
      <c r="AB76" s="231"/>
      <c r="AC76" s="231"/>
      <c r="AD76" s="232"/>
      <c r="AE76" s="230"/>
      <c r="AF76" s="231"/>
      <c r="AG76" s="231"/>
      <c r="AH76" s="231"/>
      <c r="AI76" s="231"/>
      <c r="AJ76" s="231"/>
      <c r="AK76" s="231"/>
      <c r="AL76" s="232"/>
      <c r="AM76" s="51"/>
    </row>
    <row r="77" spans="1:41" ht="10.5" customHeight="1">
      <c r="A77" s="229">
        <v>68</v>
      </c>
      <c r="B77" s="108" t="s">
        <v>332</v>
      </c>
      <c r="C77" s="230">
        <f t="shared" si="31"/>
        <v>180</v>
      </c>
      <c r="D77" s="231">
        <f t="shared" si="31"/>
        <v>220</v>
      </c>
      <c r="E77" s="231">
        <f t="shared" si="32"/>
        <v>122.22222222222223</v>
      </c>
      <c r="F77" s="231">
        <f t="shared" si="33"/>
        <v>40</v>
      </c>
      <c r="G77" s="231"/>
      <c r="H77" s="231"/>
      <c r="I77" s="231"/>
      <c r="J77" s="232"/>
      <c r="K77" s="230">
        <v>180</v>
      </c>
      <c r="L77" s="231">
        <v>220</v>
      </c>
      <c r="M77" s="231">
        <f t="shared" si="29"/>
        <v>122.22222222222223</v>
      </c>
      <c r="N77" s="231">
        <f t="shared" si="34"/>
        <v>40</v>
      </c>
      <c r="O77" s="231"/>
      <c r="P77" s="231"/>
      <c r="Q77" s="231"/>
      <c r="R77" s="232"/>
      <c r="S77" s="233"/>
      <c r="T77" s="231"/>
      <c r="U77" s="231"/>
      <c r="V77" s="234"/>
      <c r="W77" s="230"/>
      <c r="X77" s="231"/>
      <c r="Y77" s="231"/>
      <c r="Z77" s="231"/>
      <c r="AA77" s="231"/>
      <c r="AB77" s="231"/>
      <c r="AC77" s="231"/>
      <c r="AD77" s="232"/>
      <c r="AE77" s="230"/>
      <c r="AF77" s="231"/>
      <c r="AG77" s="231"/>
      <c r="AH77" s="231"/>
      <c r="AI77" s="231"/>
      <c r="AJ77" s="231"/>
      <c r="AK77" s="231"/>
      <c r="AL77" s="232"/>
      <c r="AM77" s="51" t="e">
        <f>+C77-#REF!</f>
        <v>#REF!</v>
      </c>
    </row>
    <row r="78" spans="1:41" ht="12" customHeight="1">
      <c r="A78" s="229">
        <v>69</v>
      </c>
      <c r="B78" s="110" t="s">
        <v>333</v>
      </c>
      <c r="C78" s="230">
        <f t="shared" si="31"/>
        <v>330</v>
      </c>
      <c r="D78" s="231">
        <f t="shared" si="31"/>
        <v>330</v>
      </c>
      <c r="E78" s="231">
        <f t="shared" si="32"/>
        <v>100</v>
      </c>
      <c r="F78" s="231">
        <f t="shared" si="33"/>
        <v>0</v>
      </c>
      <c r="G78" s="231"/>
      <c r="H78" s="231"/>
      <c r="I78" s="231"/>
      <c r="J78" s="232"/>
      <c r="K78" s="230">
        <v>330</v>
      </c>
      <c r="L78" s="231">
        <v>330</v>
      </c>
      <c r="M78" s="231">
        <f t="shared" si="29"/>
        <v>100</v>
      </c>
      <c r="N78" s="231">
        <f t="shared" si="34"/>
        <v>0</v>
      </c>
      <c r="O78" s="231"/>
      <c r="P78" s="231"/>
      <c r="Q78" s="231"/>
      <c r="R78" s="232"/>
      <c r="S78" s="233"/>
      <c r="T78" s="231"/>
      <c r="U78" s="231"/>
      <c r="V78" s="234"/>
      <c r="W78" s="230"/>
      <c r="X78" s="231"/>
      <c r="Y78" s="231"/>
      <c r="Z78" s="231"/>
      <c r="AA78" s="231"/>
      <c r="AB78" s="231"/>
      <c r="AC78" s="231"/>
      <c r="AD78" s="232"/>
      <c r="AE78" s="230"/>
      <c r="AF78" s="231"/>
      <c r="AG78" s="231"/>
      <c r="AH78" s="231"/>
      <c r="AI78" s="231"/>
      <c r="AJ78" s="231"/>
      <c r="AK78" s="231"/>
      <c r="AL78" s="232"/>
      <c r="AM78" s="51"/>
    </row>
    <row r="79" spans="1:41" ht="10.5" customHeight="1">
      <c r="A79" s="229">
        <v>70</v>
      </c>
      <c r="B79" s="110" t="s">
        <v>334</v>
      </c>
      <c r="C79" s="230">
        <f t="shared" si="31"/>
        <v>150</v>
      </c>
      <c r="D79" s="231">
        <f t="shared" si="31"/>
        <v>150</v>
      </c>
      <c r="E79" s="231">
        <f t="shared" si="32"/>
        <v>100</v>
      </c>
      <c r="F79" s="231">
        <f t="shared" si="33"/>
        <v>0</v>
      </c>
      <c r="G79" s="231"/>
      <c r="H79" s="231"/>
      <c r="I79" s="231"/>
      <c r="J79" s="232"/>
      <c r="K79" s="230">
        <v>150</v>
      </c>
      <c r="L79" s="231">
        <v>150</v>
      </c>
      <c r="M79" s="231">
        <f t="shared" si="29"/>
        <v>100</v>
      </c>
      <c r="N79" s="231">
        <f>+L79-K79</f>
        <v>0</v>
      </c>
      <c r="O79" s="231"/>
      <c r="P79" s="231"/>
      <c r="Q79" s="231"/>
      <c r="R79" s="232"/>
      <c r="S79" s="233"/>
      <c r="T79" s="231"/>
      <c r="U79" s="231"/>
      <c r="V79" s="234"/>
      <c r="W79" s="230"/>
      <c r="X79" s="231"/>
      <c r="Y79" s="231"/>
      <c r="Z79" s="231"/>
      <c r="AA79" s="231"/>
      <c r="AB79" s="231"/>
      <c r="AC79" s="231"/>
      <c r="AD79" s="232"/>
      <c r="AE79" s="230"/>
      <c r="AF79" s="231"/>
      <c r="AG79" s="231"/>
      <c r="AH79" s="231"/>
      <c r="AI79" s="231"/>
      <c r="AJ79" s="231"/>
      <c r="AK79" s="231"/>
      <c r="AL79" s="232"/>
      <c r="AM79" s="51"/>
    </row>
    <row r="80" spans="1:41" ht="12.75" customHeight="1">
      <c r="A80" s="229">
        <v>71</v>
      </c>
      <c r="B80" s="110" t="s">
        <v>335</v>
      </c>
      <c r="C80" s="230">
        <f t="shared" si="31"/>
        <v>150</v>
      </c>
      <c r="D80" s="231">
        <f t="shared" si="31"/>
        <v>150</v>
      </c>
      <c r="E80" s="231">
        <f t="shared" si="32"/>
        <v>100</v>
      </c>
      <c r="F80" s="231">
        <f t="shared" si="33"/>
        <v>0</v>
      </c>
      <c r="G80" s="231"/>
      <c r="H80" s="231"/>
      <c r="I80" s="231"/>
      <c r="J80" s="232"/>
      <c r="K80" s="230">
        <v>150</v>
      </c>
      <c r="L80" s="231">
        <v>150</v>
      </c>
      <c r="M80" s="231">
        <f t="shared" si="29"/>
        <v>100</v>
      </c>
      <c r="N80" s="231">
        <f t="shared" si="34"/>
        <v>0</v>
      </c>
      <c r="O80" s="231"/>
      <c r="P80" s="231"/>
      <c r="Q80" s="231"/>
      <c r="R80" s="232"/>
      <c r="S80" s="233"/>
      <c r="T80" s="231"/>
      <c r="U80" s="231"/>
      <c r="V80" s="234"/>
      <c r="W80" s="230"/>
      <c r="X80" s="231"/>
      <c r="Y80" s="231"/>
      <c r="Z80" s="231"/>
      <c r="AA80" s="231"/>
      <c r="AB80" s="231"/>
      <c r="AC80" s="231"/>
      <c r="AD80" s="232"/>
      <c r="AE80" s="230"/>
      <c r="AF80" s="231"/>
      <c r="AG80" s="231"/>
      <c r="AH80" s="231"/>
      <c r="AI80" s="231"/>
      <c r="AJ80" s="231"/>
      <c r="AK80" s="231"/>
      <c r="AL80" s="232"/>
      <c r="AM80" s="51"/>
    </row>
    <row r="81" spans="1:39" ht="12.75" customHeight="1">
      <c r="A81" s="229">
        <v>72</v>
      </c>
      <c r="B81" s="111" t="s">
        <v>336</v>
      </c>
      <c r="C81" s="230">
        <f t="shared" si="31"/>
        <v>1540</v>
      </c>
      <c r="D81" s="231">
        <f t="shared" si="31"/>
        <v>1750</v>
      </c>
      <c r="E81" s="231">
        <f t="shared" si="32"/>
        <v>113.63636363636364</v>
      </c>
      <c r="F81" s="231">
        <f t="shared" si="33"/>
        <v>210</v>
      </c>
      <c r="G81" s="231"/>
      <c r="H81" s="231"/>
      <c r="I81" s="231"/>
      <c r="J81" s="232"/>
      <c r="K81" s="230"/>
      <c r="L81" s="231"/>
      <c r="M81" s="231"/>
      <c r="N81" s="231"/>
      <c r="O81" s="231"/>
      <c r="P81" s="231"/>
      <c r="Q81" s="231"/>
      <c r="R81" s="232"/>
      <c r="S81" s="233"/>
      <c r="T81" s="231"/>
      <c r="U81" s="231"/>
      <c r="V81" s="234"/>
      <c r="W81" s="230">
        <v>1540</v>
      </c>
      <c r="X81" s="231">
        <v>1750</v>
      </c>
      <c r="Y81" s="231">
        <f>+X81/W81*100</f>
        <v>113.63636363636364</v>
      </c>
      <c r="Z81" s="231">
        <f>+X81-W81</f>
        <v>210</v>
      </c>
      <c r="AA81" s="231"/>
      <c r="AB81" s="231"/>
      <c r="AC81" s="231"/>
      <c r="AD81" s="232"/>
      <c r="AE81" s="230"/>
      <c r="AF81" s="231"/>
      <c r="AG81" s="231"/>
      <c r="AH81" s="231"/>
      <c r="AI81" s="231"/>
      <c r="AJ81" s="231"/>
      <c r="AK81" s="231"/>
      <c r="AL81" s="232"/>
      <c r="AM81" s="51"/>
    </row>
    <row r="82" spans="1:39" ht="12.75" customHeight="1">
      <c r="A82" s="229">
        <v>73</v>
      </c>
      <c r="B82" s="111" t="s">
        <v>337</v>
      </c>
      <c r="C82" s="230">
        <f t="shared" si="31"/>
        <v>3272.7</v>
      </c>
      <c r="D82" s="231">
        <f t="shared" si="31"/>
        <v>1571.8</v>
      </c>
      <c r="E82" s="231">
        <f t="shared" si="32"/>
        <v>48.027622452409325</v>
      </c>
      <c r="F82" s="231">
        <f t="shared" si="33"/>
        <v>-1700.8999999999999</v>
      </c>
      <c r="G82" s="231"/>
      <c r="H82" s="231"/>
      <c r="I82" s="231"/>
      <c r="J82" s="232"/>
      <c r="K82" s="230">
        <v>3272.7</v>
      </c>
      <c r="L82" s="231">
        <v>1571.8</v>
      </c>
      <c r="M82" s="231">
        <f t="shared" si="29"/>
        <v>48.027622452409325</v>
      </c>
      <c r="N82" s="231">
        <f t="shared" si="34"/>
        <v>-1700.8999999999999</v>
      </c>
      <c r="O82" s="231"/>
      <c r="P82" s="231"/>
      <c r="Q82" s="231"/>
      <c r="R82" s="232"/>
      <c r="S82" s="233"/>
      <c r="T82" s="231"/>
      <c r="U82" s="231"/>
      <c r="V82" s="234"/>
      <c r="W82" s="230"/>
      <c r="X82" s="231"/>
      <c r="Y82" s="231"/>
      <c r="Z82" s="231"/>
      <c r="AA82" s="231"/>
      <c r="AB82" s="231"/>
      <c r="AC82" s="231"/>
      <c r="AD82" s="232"/>
      <c r="AE82" s="230"/>
      <c r="AF82" s="231"/>
      <c r="AG82" s="231"/>
      <c r="AH82" s="231"/>
      <c r="AI82" s="231"/>
      <c r="AJ82" s="231"/>
      <c r="AK82" s="231"/>
      <c r="AL82" s="232"/>
      <c r="AM82" s="51"/>
    </row>
    <row r="83" spans="1:39" ht="30.75" customHeight="1">
      <c r="A83" s="229">
        <v>74</v>
      </c>
      <c r="B83" s="111" t="s">
        <v>338</v>
      </c>
      <c r="C83" s="230">
        <f t="shared" si="31"/>
        <v>6577.6</v>
      </c>
      <c r="D83" s="231">
        <f t="shared" si="31"/>
        <v>7660.7</v>
      </c>
      <c r="E83" s="231">
        <f t="shared" si="32"/>
        <v>116.46649233763074</v>
      </c>
      <c r="F83" s="231">
        <f t="shared" si="33"/>
        <v>1083.0999999999995</v>
      </c>
      <c r="G83" s="231"/>
      <c r="H83" s="231"/>
      <c r="I83" s="231"/>
      <c r="J83" s="232"/>
      <c r="K83" s="230">
        <v>6577.6</v>
      </c>
      <c r="L83" s="231">
        <v>7660.7</v>
      </c>
      <c r="M83" s="231">
        <f t="shared" si="29"/>
        <v>116.46649233763074</v>
      </c>
      <c r="N83" s="231">
        <f t="shared" si="34"/>
        <v>1083.0999999999995</v>
      </c>
      <c r="O83" s="231"/>
      <c r="P83" s="231"/>
      <c r="Q83" s="231"/>
      <c r="R83" s="232"/>
      <c r="S83" s="233"/>
      <c r="T83" s="231"/>
      <c r="U83" s="231"/>
      <c r="V83" s="234"/>
      <c r="W83" s="230"/>
      <c r="X83" s="231"/>
      <c r="Y83" s="231"/>
      <c r="Z83" s="231"/>
      <c r="AA83" s="231"/>
      <c r="AB83" s="231"/>
      <c r="AC83" s="231"/>
      <c r="AD83" s="232"/>
      <c r="AE83" s="230"/>
      <c r="AF83" s="231"/>
      <c r="AG83" s="231"/>
      <c r="AH83" s="231"/>
      <c r="AI83" s="231"/>
      <c r="AJ83" s="231"/>
      <c r="AK83" s="231"/>
      <c r="AL83" s="232"/>
      <c r="AM83" s="51"/>
    </row>
    <row r="84" spans="1:39" ht="33.75" customHeight="1">
      <c r="A84" s="229">
        <v>75</v>
      </c>
      <c r="B84" s="108" t="s">
        <v>339</v>
      </c>
      <c r="C84" s="230">
        <f t="shared" si="31"/>
        <v>863</v>
      </c>
      <c r="D84" s="231">
        <f t="shared" si="31"/>
        <v>863</v>
      </c>
      <c r="E84" s="231">
        <f t="shared" si="32"/>
        <v>100</v>
      </c>
      <c r="F84" s="231">
        <f t="shared" si="33"/>
        <v>0</v>
      </c>
      <c r="G84" s="231"/>
      <c r="H84" s="231"/>
      <c r="I84" s="231"/>
      <c r="J84" s="232"/>
      <c r="K84" s="230"/>
      <c r="L84" s="231"/>
      <c r="M84" s="231"/>
      <c r="N84" s="231"/>
      <c r="O84" s="231"/>
      <c r="P84" s="231"/>
      <c r="Q84" s="231"/>
      <c r="R84" s="232"/>
      <c r="S84" s="233"/>
      <c r="T84" s="231"/>
      <c r="U84" s="231"/>
      <c r="V84" s="234"/>
      <c r="W84" s="230">
        <v>863</v>
      </c>
      <c r="X84" s="231">
        <v>863</v>
      </c>
      <c r="Y84" s="231">
        <f>+X84/W84*100</f>
        <v>100</v>
      </c>
      <c r="Z84" s="231">
        <f>+X84-W84</f>
        <v>0</v>
      </c>
      <c r="AA84" s="231"/>
      <c r="AB84" s="231"/>
      <c r="AC84" s="231"/>
      <c r="AD84" s="232"/>
      <c r="AE84" s="230"/>
      <c r="AF84" s="231"/>
      <c r="AG84" s="231"/>
      <c r="AH84" s="231"/>
      <c r="AI84" s="231"/>
      <c r="AJ84" s="231"/>
      <c r="AK84" s="231"/>
      <c r="AL84" s="232"/>
      <c r="AM84" s="51"/>
    </row>
    <row r="85" spans="1:39" ht="12.75" customHeight="1">
      <c r="A85" s="229">
        <v>76</v>
      </c>
      <c r="B85" s="112" t="s">
        <v>340</v>
      </c>
      <c r="C85" s="230">
        <f t="shared" si="31"/>
        <v>1675.3</v>
      </c>
      <c r="D85" s="231">
        <f t="shared" si="31"/>
        <v>1877</v>
      </c>
      <c r="E85" s="231">
        <f t="shared" si="32"/>
        <v>112.03963469229392</v>
      </c>
      <c r="F85" s="231">
        <f t="shared" si="33"/>
        <v>201.70000000000005</v>
      </c>
      <c r="G85" s="231"/>
      <c r="H85" s="231"/>
      <c r="I85" s="231"/>
      <c r="J85" s="232"/>
      <c r="K85" s="230"/>
      <c r="L85" s="231"/>
      <c r="M85" s="231"/>
      <c r="N85" s="231"/>
      <c r="O85" s="231"/>
      <c r="P85" s="231"/>
      <c r="Q85" s="231"/>
      <c r="R85" s="232"/>
      <c r="S85" s="233"/>
      <c r="T85" s="231"/>
      <c r="U85" s="231"/>
      <c r="V85" s="234"/>
      <c r="W85" s="230">
        <v>1675.3</v>
      </c>
      <c r="X85" s="231">
        <f>2506.7-67.6-562.1</f>
        <v>1877</v>
      </c>
      <c r="Y85" s="231">
        <f>+X85/W85*100</f>
        <v>112.03963469229392</v>
      </c>
      <c r="Z85" s="231">
        <f>+X85-W85</f>
        <v>201.70000000000005</v>
      </c>
      <c r="AA85" s="231"/>
      <c r="AB85" s="231"/>
      <c r="AC85" s="231"/>
      <c r="AD85" s="232"/>
      <c r="AE85" s="230"/>
      <c r="AF85" s="231"/>
      <c r="AG85" s="231"/>
      <c r="AH85" s="231"/>
      <c r="AI85" s="231"/>
      <c r="AJ85" s="231"/>
      <c r="AK85" s="231"/>
      <c r="AL85" s="232"/>
      <c r="AM85" s="51"/>
    </row>
    <row r="86" spans="1:39" ht="21.75" customHeight="1">
      <c r="A86" s="229">
        <v>77</v>
      </c>
      <c r="B86" s="112" t="s">
        <v>341</v>
      </c>
      <c r="C86" s="230">
        <f t="shared" si="31"/>
        <v>475.8</v>
      </c>
      <c r="D86" s="231">
        <f t="shared" si="31"/>
        <v>562.1</v>
      </c>
      <c r="E86" s="231">
        <f t="shared" si="32"/>
        <v>118.13787305590584</v>
      </c>
      <c r="F86" s="231">
        <f t="shared" si="33"/>
        <v>86.300000000000011</v>
      </c>
      <c r="G86" s="231"/>
      <c r="H86" s="231"/>
      <c r="I86" s="231"/>
      <c r="J86" s="232"/>
      <c r="K86" s="230"/>
      <c r="L86" s="231"/>
      <c r="M86" s="231"/>
      <c r="N86" s="231"/>
      <c r="O86" s="231"/>
      <c r="P86" s="231"/>
      <c r="Q86" s="231"/>
      <c r="R86" s="232"/>
      <c r="S86" s="233"/>
      <c r="T86" s="231"/>
      <c r="U86" s="231"/>
      <c r="V86" s="234"/>
      <c r="W86" s="230">
        <v>475.8</v>
      </c>
      <c r="X86" s="231">
        <v>562.1</v>
      </c>
      <c r="Y86" s="231">
        <f>+X86/W86*100</f>
        <v>118.13787305590584</v>
      </c>
      <c r="Z86" s="231">
        <f>+X86-W86</f>
        <v>86.300000000000011</v>
      </c>
      <c r="AA86" s="231"/>
      <c r="AB86" s="231"/>
      <c r="AC86" s="231"/>
      <c r="AD86" s="232"/>
      <c r="AE86" s="230"/>
      <c r="AF86" s="231"/>
      <c r="AG86" s="231"/>
      <c r="AH86" s="231"/>
      <c r="AI86" s="231"/>
      <c r="AJ86" s="231"/>
      <c r="AK86" s="231"/>
      <c r="AL86" s="232"/>
      <c r="AM86" s="51"/>
    </row>
    <row r="87" spans="1:39" ht="12.75" customHeight="1">
      <c r="A87" s="229">
        <v>78</v>
      </c>
      <c r="B87" s="111" t="s">
        <v>342</v>
      </c>
      <c r="C87" s="230">
        <f t="shared" si="31"/>
        <v>50</v>
      </c>
      <c r="D87" s="231">
        <f t="shared" si="31"/>
        <v>50</v>
      </c>
      <c r="E87" s="231">
        <f t="shared" si="32"/>
        <v>100</v>
      </c>
      <c r="F87" s="231">
        <f t="shared" si="33"/>
        <v>0</v>
      </c>
      <c r="G87" s="231"/>
      <c r="H87" s="231"/>
      <c r="I87" s="231"/>
      <c r="J87" s="232"/>
      <c r="K87" s="230">
        <v>50</v>
      </c>
      <c r="L87" s="231">
        <v>50</v>
      </c>
      <c r="M87" s="231">
        <f t="shared" si="29"/>
        <v>100</v>
      </c>
      <c r="N87" s="231">
        <f t="shared" si="34"/>
        <v>0</v>
      </c>
      <c r="O87" s="231"/>
      <c r="P87" s="231"/>
      <c r="Q87" s="231"/>
      <c r="R87" s="232"/>
      <c r="S87" s="233"/>
      <c r="T87" s="231"/>
      <c r="U87" s="231"/>
      <c r="V87" s="234"/>
      <c r="W87" s="230"/>
      <c r="X87" s="231"/>
      <c r="Y87" s="231"/>
      <c r="Z87" s="231"/>
      <c r="AA87" s="231"/>
      <c r="AB87" s="231"/>
      <c r="AC87" s="231"/>
      <c r="AD87" s="232"/>
      <c r="AE87" s="230"/>
      <c r="AF87" s="231"/>
      <c r="AG87" s="231"/>
      <c r="AH87" s="231"/>
      <c r="AI87" s="231"/>
      <c r="AJ87" s="231"/>
      <c r="AK87" s="231"/>
      <c r="AL87" s="232"/>
      <c r="AM87" s="51" t="e">
        <f>+C87-#REF!</f>
        <v>#REF!</v>
      </c>
    </row>
    <row r="88" spans="1:39" ht="12.75" customHeight="1">
      <c r="A88" s="229">
        <v>79</v>
      </c>
      <c r="B88" s="113" t="s">
        <v>343</v>
      </c>
      <c r="C88" s="230">
        <f t="shared" si="31"/>
        <v>25</v>
      </c>
      <c r="D88" s="231">
        <f t="shared" si="31"/>
        <v>34</v>
      </c>
      <c r="E88" s="231">
        <f t="shared" si="32"/>
        <v>136</v>
      </c>
      <c r="F88" s="231">
        <f t="shared" si="33"/>
        <v>9</v>
      </c>
      <c r="G88" s="231"/>
      <c r="H88" s="231"/>
      <c r="I88" s="231"/>
      <c r="J88" s="232"/>
      <c r="K88" s="230">
        <v>25</v>
      </c>
      <c r="L88" s="231">
        <v>34</v>
      </c>
      <c r="M88" s="231">
        <f t="shared" si="29"/>
        <v>136</v>
      </c>
      <c r="N88" s="231">
        <f t="shared" si="34"/>
        <v>9</v>
      </c>
      <c r="O88" s="231"/>
      <c r="P88" s="231"/>
      <c r="Q88" s="231"/>
      <c r="R88" s="232"/>
      <c r="S88" s="233"/>
      <c r="T88" s="231"/>
      <c r="U88" s="231"/>
      <c r="V88" s="234"/>
      <c r="W88" s="230"/>
      <c r="X88" s="231"/>
      <c r="Y88" s="231"/>
      <c r="Z88" s="231"/>
      <c r="AA88" s="231"/>
      <c r="AB88" s="231"/>
      <c r="AC88" s="231"/>
      <c r="AD88" s="232"/>
      <c r="AE88" s="230"/>
      <c r="AF88" s="231"/>
      <c r="AG88" s="231"/>
      <c r="AH88" s="231"/>
      <c r="AI88" s="231"/>
      <c r="AJ88" s="231"/>
      <c r="AK88" s="231"/>
      <c r="AL88" s="232"/>
      <c r="AM88" s="51" t="e">
        <f>+C88-#REF!</f>
        <v>#REF!</v>
      </c>
    </row>
    <row r="89" spans="1:39" ht="12" customHeight="1">
      <c r="A89" s="229">
        <v>80</v>
      </c>
      <c r="B89" s="110" t="s">
        <v>344</v>
      </c>
      <c r="C89" s="230">
        <f t="shared" si="31"/>
        <v>2675.8</v>
      </c>
      <c r="D89" s="231">
        <f t="shared" si="31"/>
        <v>2650</v>
      </c>
      <c r="E89" s="231">
        <f t="shared" si="32"/>
        <v>99.035802376859252</v>
      </c>
      <c r="F89" s="231">
        <f t="shared" si="33"/>
        <v>-25.800000000000182</v>
      </c>
      <c r="G89" s="231"/>
      <c r="H89" s="231"/>
      <c r="I89" s="231"/>
      <c r="J89" s="232"/>
      <c r="K89" s="230">
        <v>2675.8</v>
      </c>
      <c r="L89" s="231">
        <v>2650</v>
      </c>
      <c r="M89" s="231">
        <f t="shared" si="29"/>
        <v>99.035802376859252</v>
      </c>
      <c r="N89" s="231">
        <f t="shared" si="34"/>
        <v>-25.800000000000182</v>
      </c>
      <c r="O89" s="231"/>
      <c r="P89" s="231"/>
      <c r="Q89" s="231"/>
      <c r="R89" s="232"/>
      <c r="S89" s="233"/>
      <c r="T89" s="231"/>
      <c r="U89" s="231"/>
      <c r="V89" s="234"/>
      <c r="W89" s="230"/>
      <c r="X89" s="231"/>
      <c r="Y89" s="231"/>
      <c r="Z89" s="231"/>
      <c r="AA89" s="231"/>
      <c r="AB89" s="231"/>
      <c r="AC89" s="231"/>
      <c r="AD89" s="232"/>
      <c r="AE89" s="230"/>
      <c r="AF89" s="231"/>
      <c r="AG89" s="231"/>
      <c r="AH89" s="231"/>
      <c r="AI89" s="231"/>
      <c r="AJ89" s="231"/>
      <c r="AK89" s="231"/>
      <c r="AL89" s="232"/>
      <c r="AM89" s="51" t="e">
        <f>+C89-#REF!</f>
        <v>#REF!</v>
      </c>
    </row>
    <row r="90" spans="1:39" ht="21" customHeight="1">
      <c r="A90" s="229">
        <v>81</v>
      </c>
      <c r="B90" s="110" t="s">
        <v>345</v>
      </c>
      <c r="C90" s="230">
        <f t="shared" si="31"/>
        <v>500</v>
      </c>
      <c r="D90" s="231">
        <f t="shared" si="31"/>
        <v>500</v>
      </c>
      <c r="E90" s="231">
        <f t="shared" si="32"/>
        <v>100</v>
      </c>
      <c r="F90" s="231">
        <f t="shared" si="33"/>
        <v>0</v>
      </c>
      <c r="G90" s="231"/>
      <c r="H90" s="231"/>
      <c r="I90" s="231"/>
      <c r="J90" s="232"/>
      <c r="K90" s="230">
        <v>500</v>
      </c>
      <c r="L90" s="231">
        <v>500</v>
      </c>
      <c r="M90" s="231">
        <f t="shared" si="29"/>
        <v>100</v>
      </c>
      <c r="N90" s="231">
        <f t="shared" si="34"/>
        <v>0</v>
      </c>
      <c r="O90" s="231"/>
      <c r="P90" s="231"/>
      <c r="Q90" s="231"/>
      <c r="R90" s="232"/>
      <c r="S90" s="233"/>
      <c r="T90" s="231"/>
      <c r="U90" s="231"/>
      <c r="V90" s="234"/>
      <c r="W90" s="230"/>
      <c r="X90" s="231"/>
      <c r="Y90" s="231"/>
      <c r="Z90" s="231"/>
      <c r="AA90" s="231"/>
      <c r="AB90" s="231"/>
      <c r="AC90" s="231"/>
      <c r="AD90" s="232"/>
      <c r="AE90" s="230"/>
      <c r="AF90" s="231"/>
      <c r="AG90" s="231"/>
      <c r="AH90" s="231"/>
      <c r="AI90" s="231"/>
      <c r="AJ90" s="231"/>
      <c r="AK90" s="231"/>
      <c r="AL90" s="232"/>
      <c r="AM90" s="51" t="e">
        <f>+C90-#REF!</f>
        <v>#REF!</v>
      </c>
    </row>
    <row r="91" spans="1:39" ht="24" customHeight="1">
      <c r="A91" s="229">
        <v>82</v>
      </c>
      <c r="B91" s="110" t="s">
        <v>346</v>
      </c>
      <c r="C91" s="230">
        <f t="shared" ref="C91:D113" si="35">+K91+W91+AE91</f>
        <v>2500</v>
      </c>
      <c r="D91" s="231">
        <f t="shared" si="35"/>
        <v>2400</v>
      </c>
      <c r="E91" s="231">
        <f t="shared" si="32"/>
        <v>96</v>
      </c>
      <c r="F91" s="231">
        <f t="shared" si="33"/>
        <v>-100</v>
      </c>
      <c r="G91" s="231"/>
      <c r="H91" s="231"/>
      <c r="I91" s="231"/>
      <c r="J91" s="232"/>
      <c r="K91" s="230">
        <v>2500</v>
      </c>
      <c r="L91" s="231">
        <v>2400</v>
      </c>
      <c r="M91" s="231">
        <f t="shared" si="29"/>
        <v>96</v>
      </c>
      <c r="N91" s="231">
        <f t="shared" si="34"/>
        <v>-100</v>
      </c>
      <c r="O91" s="231"/>
      <c r="P91" s="231"/>
      <c r="Q91" s="231"/>
      <c r="R91" s="232"/>
      <c r="S91" s="233"/>
      <c r="T91" s="231"/>
      <c r="U91" s="231"/>
      <c r="V91" s="234"/>
      <c r="W91" s="230"/>
      <c r="X91" s="231"/>
      <c r="Y91" s="231"/>
      <c r="Z91" s="231"/>
      <c r="AA91" s="231"/>
      <c r="AB91" s="231"/>
      <c r="AC91" s="231"/>
      <c r="AD91" s="232"/>
      <c r="AE91" s="230"/>
      <c r="AF91" s="231"/>
      <c r="AG91" s="231"/>
      <c r="AH91" s="231"/>
      <c r="AI91" s="231"/>
      <c r="AJ91" s="231"/>
      <c r="AK91" s="231"/>
      <c r="AL91" s="232"/>
      <c r="AM91" s="51" t="e">
        <f>+C91-#REF!</f>
        <v>#REF!</v>
      </c>
    </row>
    <row r="92" spans="1:39" ht="12" customHeight="1">
      <c r="A92" s="229">
        <v>83</v>
      </c>
      <c r="B92" s="110" t="s">
        <v>347</v>
      </c>
      <c r="C92" s="230">
        <f t="shared" si="35"/>
        <v>430</v>
      </c>
      <c r="D92" s="231">
        <f t="shared" si="35"/>
        <v>350</v>
      </c>
      <c r="E92" s="231">
        <f t="shared" si="32"/>
        <v>81.395348837209298</v>
      </c>
      <c r="F92" s="231">
        <f t="shared" si="33"/>
        <v>-80</v>
      </c>
      <c r="G92" s="231"/>
      <c r="H92" s="231"/>
      <c r="I92" s="231"/>
      <c r="J92" s="232"/>
      <c r="K92" s="230">
        <v>430</v>
      </c>
      <c r="L92" s="231">
        <v>350</v>
      </c>
      <c r="M92" s="231">
        <f t="shared" si="29"/>
        <v>81.395348837209298</v>
      </c>
      <c r="N92" s="231">
        <f t="shared" si="34"/>
        <v>-80</v>
      </c>
      <c r="O92" s="231"/>
      <c r="P92" s="231"/>
      <c r="Q92" s="231"/>
      <c r="R92" s="232"/>
      <c r="S92" s="233"/>
      <c r="T92" s="231"/>
      <c r="U92" s="231"/>
      <c r="V92" s="234"/>
      <c r="W92" s="230"/>
      <c r="X92" s="231"/>
      <c r="Y92" s="231"/>
      <c r="Z92" s="231"/>
      <c r="AA92" s="231"/>
      <c r="AB92" s="231"/>
      <c r="AC92" s="231"/>
      <c r="AD92" s="232"/>
      <c r="AE92" s="230"/>
      <c r="AF92" s="231"/>
      <c r="AG92" s="231"/>
      <c r="AH92" s="231"/>
      <c r="AI92" s="231"/>
      <c r="AJ92" s="231"/>
      <c r="AK92" s="231"/>
      <c r="AL92" s="232"/>
      <c r="AM92" s="51"/>
    </row>
    <row r="93" spans="1:39" ht="12.75" customHeight="1">
      <c r="A93" s="229">
        <v>84</v>
      </c>
      <c r="B93" s="111" t="s">
        <v>348</v>
      </c>
      <c r="C93" s="230">
        <f t="shared" si="35"/>
        <v>41</v>
      </c>
      <c r="D93" s="231">
        <f t="shared" si="35"/>
        <v>41</v>
      </c>
      <c r="E93" s="231">
        <f t="shared" si="32"/>
        <v>100</v>
      </c>
      <c r="F93" s="231">
        <f t="shared" si="33"/>
        <v>0</v>
      </c>
      <c r="G93" s="231"/>
      <c r="H93" s="231"/>
      <c r="I93" s="231"/>
      <c r="J93" s="232"/>
      <c r="K93" s="230">
        <v>41</v>
      </c>
      <c r="L93" s="231">
        <v>41</v>
      </c>
      <c r="M93" s="231">
        <f t="shared" si="29"/>
        <v>100</v>
      </c>
      <c r="N93" s="231">
        <f t="shared" si="34"/>
        <v>0</v>
      </c>
      <c r="O93" s="231"/>
      <c r="P93" s="231"/>
      <c r="Q93" s="231"/>
      <c r="R93" s="232"/>
      <c r="S93" s="233"/>
      <c r="T93" s="231"/>
      <c r="U93" s="231"/>
      <c r="V93" s="234"/>
      <c r="W93" s="230"/>
      <c r="X93" s="231"/>
      <c r="Y93" s="231"/>
      <c r="Z93" s="231"/>
      <c r="AA93" s="231"/>
      <c r="AB93" s="231"/>
      <c r="AC93" s="231"/>
      <c r="AD93" s="232"/>
      <c r="AE93" s="230"/>
      <c r="AF93" s="231"/>
      <c r="AG93" s="231"/>
      <c r="AH93" s="231"/>
      <c r="AI93" s="231"/>
      <c r="AJ93" s="231"/>
      <c r="AK93" s="231"/>
      <c r="AL93" s="232"/>
      <c r="AM93" s="51"/>
    </row>
    <row r="94" spans="1:39" ht="21.75" customHeight="1">
      <c r="A94" s="229">
        <v>85</v>
      </c>
      <c r="B94" s="112" t="s">
        <v>349</v>
      </c>
      <c r="C94" s="230">
        <f t="shared" si="35"/>
        <v>54</v>
      </c>
      <c r="D94" s="231">
        <f t="shared" si="35"/>
        <v>54</v>
      </c>
      <c r="E94" s="231">
        <f t="shared" si="32"/>
        <v>100</v>
      </c>
      <c r="F94" s="231">
        <f t="shared" si="33"/>
        <v>0</v>
      </c>
      <c r="G94" s="231"/>
      <c r="H94" s="231"/>
      <c r="I94" s="231"/>
      <c r="J94" s="232"/>
      <c r="K94" s="230">
        <v>54</v>
      </c>
      <c r="L94" s="231">
        <v>54</v>
      </c>
      <c r="M94" s="231">
        <f t="shared" si="29"/>
        <v>100</v>
      </c>
      <c r="N94" s="231">
        <f t="shared" si="34"/>
        <v>0</v>
      </c>
      <c r="O94" s="231"/>
      <c r="P94" s="231"/>
      <c r="Q94" s="231"/>
      <c r="R94" s="232"/>
      <c r="S94" s="233"/>
      <c r="T94" s="231"/>
      <c r="U94" s="231"/>
      <c r="V94" s="234"/>
      <c r="W94" s="230"/>
      <c r="X94" s="231"/>
      <c r="Y94" s="231"/>
      <c r="Z94" s="231"/>
      <c r="AA94" s="231"/>
      <c r="AB94" s="231"/>
      <c r="AC94" s="231"/>
      <c r="AD94" s="232"/>
      <c r="AE94" s="230"/>
      <c r="AF94" s="231"/>
      <c r="AG94" s="231"/>
      <c r="AH94" s="231"/>
      <c r="AI94" s="231"/>
      <c r="AJ94" s="231"/>
      <c r="AK94" s="231"/>
      <c r="AL94" s="232"/>
      <c r="AM94" s="51" t="e">
        <f>+C94-#REF!</f>
        <v>#REF!</v>
      </c>
    </row>
    <row r="95" spans="1:39" ht="11.25" customHeight="1">
      <c r="A95" s="229">
        <v>86</v>
      </c>
      <c r="B95" s="110" t="s">
        <v>350</v>
      </c>
      <c r="C95" s="230">
        <f t="shared" si="35"/>
        <v>26</v>
      </c>
      <c r="D95" s="231">
        <f t="shared" si="35"/>
        <v>26</v>
      </c>
      <c r="E95" s="231">
        <f t="shared" si="32"/>
        <v>100</v>
      </c>
      <c r="F95" s="231">
        <f t="shared" si="33"/>
        <v>0</v>
      </c>
      <c r="G95" s="231"/>
      <c r="H95" s="231"/>
      <c r="I95" s="231"/>
      <c r="J95" s="232"/>
      <c r="K95" s="230">
        <v>26</v>
      </c>
      <c r="L95" s="231">
        <v>26</v>
      </c>
      <c r="M95" s="231">
        <f t="shared" si="29"/>
        <v>100</v>
      </c>
      <c r="N95" s="231">
        <f t="shared" si="34"/>
        <v>0</v>
      </c>
      <c r="O95" s="231"/>
      <c r="P95" s="231"/>
      <c r="Q95" s="231"/>
      <c r="R95" s="232"/>
      <c r="S95" s="233"/>
      <c r="T95" s="231"/>
      <c r="U95" s="231"/>
      <c r="V95" s="234"/>
      <c r="W95" s="230"/>
      <c r="X95" s="231"/>
      <c r="Y95" s="231"/>
      <c r="Z95" s="231"/>
      <c r="AA95" s="231"/>
      <c r="AB95" s="231"/>
      <c r="AC95" s="231"/>
      <c r="AD95" s="232"/>
      <c r="AE95" s="230"/>
      <c r="AF95" s="231"/>
      <c r="AG95" s="231"/>
      <c r="AH95" s="231"/>
      <c r="AI95" s="231"/>
      <c r="AJ95" s="231"/>
      <c r="AK95" s="231"/>
      <c r="AL95" s="232"/>
      <c r="AM95" s="51" t="e">
        <f>+C95-#REF!</f>
        <v>#REF!</v>
      </c>
    </row>
    <row r="96" spans="1:39" ht="11.25" customHeight="1">
      <c r="A96" s="229">
        <v>87</v>
      </c>
      <c r="B96" s="110" t="s">
        <v>351</v>
      </c>
      <c r="C96" s="230">
        <f t="shared" si="35"/>
        <v>25</v>
      </c>
      <c r="D96" s="231">
        <f t="shared" si="35"/>
        <v>25</v>
      </c>
      <c r="E96" s="231">
        <f t="shared" si="32"/>
        <v>100</v>
      </c>
      <c r="F96" s="231">
        <f t="shared" si="33"/>
        <v>0</v>
      </c>
      <c r="G96" s="231"/>
      <c r="H96" s="231"/>
      <c r="I96" s="231"/>
      <c r="J96" s="232"/>
      <c r="K96" s="230">
        <v>25</v>
      </c>
      <c r="L96" s="231">
        <v>25</v>
      </c>
      <c r="M96" s="231">
        <f t="shared" si="29"/>
        <v>100</v>
      </c>
      <c r="N96" s="231">
        <f t="shared" si="34"/>
        <v>0</v>
      </c>
      <c r="O96" s="231"/>
      <c r="P96" s="231"/>
      <c r="Q96" s="231"/>
      <c r="R96" s="232"/>
      <c r="S96" s="233"/>
      <c r="T96" s="231"/>
      <c r="U96" s="231"/>
      <c r="V96" s="234"/>
      <c r="W96" s="230"/>
      <c r="X96" s="231"/>
      <c r="Y96" s="231"/>
      <c r="Z96" s="231"/>
      <c r="AA96" s="231"/>
      <c r="AB96" s="231"/>
      <c r="AC96" s="231"/>
      <c r="AD96" s="232"/>
      <c r="AE96" s="230"/>
      <c r="AF96" s="231"/>
      <c r="AG96" s="231"/>
      <c r="AH96" s="231"/>
      <c r="AI96" s="231"/>
      <c r="AJ96" s="231"/>
      <c r="AK96" s="231"/>
      <c r="AL96" s="232"/>
      <c r="AM96" s="51" t="e">
        <f>+C96-#REF!</f>
        <v>#REF!</v>
      </c>
    </row>
    <row r="97" spans="1:39" ht="11.25" customHeight="1">
      <c r="A97" s="229">
        <v>88</v>
      </c>
      <c r="B97" s="108" t="s">
        <v>352</v>
      </c>
      <c r="C97" s="230">
        <f t="shared" si="35"/>
        <v>3.9</v>
      </c>
      <c r="D97" s="231">
        <f t="shared" si="35"/>
        <v>3.9</v>
      </c>
      <c r="E97" s="231">
        <f t="shared" si="32"/>
        <v>100</v>
      </c>
      <c r="F97" s="231">
        <f t="shared" si="33"/>
        <v>0</v>
      </c>
      <c r="G97" s="231"/>
      <c r="H97" s="231"/>
      <c r="I97" s="231"/>
      <c r="J97" s="232"/>
      <c r="K97" s="230">
        <v>3.9</v>
      </c>
      <c r="L97" s="231">
        <v>3.9</v>
      </c>
      <c r="M97" s="231">
        <f t="shared" si="29"/>
        <v>100</v>
      </c>
      <c r="N97" s="231">
        <f t="shared" si="34"/>
        <v>0</v>
      </c>
      <c r="O97" s="231"/>
      <c r="P97" s="231"/>
      <c r="Q97" s="231"/>
      <c r="R97" s="232"/>
      <c r="S97" s="233"/>
      <c r="T97" s="231"/>
      <c r="U97" s="231"/>
      <c r="V97" s="234"/>
      <c r="W97" s="230"/>
      <c r="X97" s="231"/>
      <c r="Y97" s="231"/>
      <c r="Z97" s="231"/>
      <c r="AA97" s="231"/>
      <c r="AB97" s="231"/>
      <c r="AC97" s="231"/>
      <c r="AD97" s="232"/>
      <c r="AE97" s="230"/>
      <c r="AF97" s="231"/>
      <c r="AG97" s="231"/>
      <c r="AH97" s="231"/>
      <c r="AI97" s="231"/>
      <c r="AJ97" s="231"/>
      <c r="AK97" s="231"/>
      <c r="AL97" s="232"/>
      <c r="AM97" s="51" t="e">
        <f>+C97-#REF!</f>
        <v>#REF!</v>
      </c>
    </row>
    <row r="98" spans="1:39" ht="12.75" customHeight="1">
      <c r="A98" s="229">
        <v>89</v>
      </c>
      <c r="B98" s="110" t="s">
        <v>353</v>
      </c>
      <c r="C98" s="230">
        <f t="shared" si="35"/>
        <v>138</v>
      </c>
      <c r="D98" s="231">
        <f t="shared" si="35"/>
        <v>138</v>
      </c>
      <c r="E98" s="231">
        <f t="shared" si="32"/>
        <v>100</v>
      </c>
      <c r="F98" s="231">
        <f t="shared" si="33"/>
        <v>0</v>
      </c>
      <c r="G98" s="231"/>
      <c r="H98" s="231"/>
      <c r="I98" s="231"/>
      <c r="J98" s="232"/>
      <c r="K98" s="230">
        <v>138</v>
      </c>
      <c r="L98" s="231">
        <v>138</v>
      </c>
      <c r="M98" s="231">
        <f t="shared" si="29"/>
        <v>100</v>
      </c>
      <c r="N98" s="231">
        <f t="shared" si="34"/>
        <v>0</v>
      </c>
      <c r="O98" s="231"/>
      <c r="P98" s="231"/>
      <c r="Q98" s="231"/>
      <c r="R98" s="232"/>
      <c r="S98" s="233"/>
      <c r="T98" s="231"/>
      <c r="U98" s="231"/>
      <c r="V98" s="234"/>
      <c r="W98" s="230"/>
      <c r="X98" s="231"/>
      <c r="Y98" s="231"/>
      <c r="Z98" s="231"/>
      <c r="AA98" s="231"/>
      <c r="AB98" s="231"/>
      <c r="AC98" s="231"/>
      <c r="AD98" s="232"/>
      <c r="AE98" s="230"/>
      <c r="AF98" s="231"/>
      <c r="AG98" s="231"/>
      <c r="AH98" s="231"/>
      <c r="AI98" s="231"/>
      <c r="AJ98" s="231"/>
      <c r="AK98" s="231"/>
      <c r="AL98" s="232"/>
      <c r="AM98" s="51" t="e">
        <f>+C98-#REF!</f>
        <v>#REF!</v>
      </c>
    </row>
    <row r="99" spans="1:39" ht="21.75" customHeight="1">
      <c r="A99" s="229">
        <v>90</v>
      </c>
      <c r="B99" s="110" t="s">
        <v>354</v>
      </c>
      <c r="C99" s="230">
        <f t="shared" si="35"/>
        <v>40</v>
      </c>
      <c r="D99" s="231">
        <f t="shared" si="35"/>
        <v>40</v>
      </c>
      <c r="E99" s="231">
        <f t="shared" si="32"/>
        <v>100</v>
      </c>
      <c r="F99" s="231">
        <f t="shared" si="33"/>
        <v>0</v>
      </c>
      <c r="G99" s="231"/>
      <c r="H99" s="231"/>
      <c r="I99" s="231"/>
      <c r="J99" s="232"/>
      <c r="K99" s="230">
        <v>40</v>
      </c>
      <c r="L99" s="231">
        <v>40</v>
      </c>
      <c r="M99" s="231">
        <f t="shared" si="29"/>
        <v>100</v>
      </c>
      <c r="N99" s="231">
        <f t="shared" si="34"/>
        <v>0</v>
      </c>
      <c r="O99" s="231"/>
      <c r="P99" s="231"/>
      <c r="Q99" s="231"/>
      <c r="R99" s="232"/>
      <c r="S99" s="233"/>
      <c r="T99" s="231"/>
      <c r="U99" s="231"/>
      <c r="V99" s="234"/>
      <c r="W99" s="230"/>
      <c r="X99" s="231"/>
      <c r="Y99" s="231"/>
      <c r="Z99" s="231"/>
      <c r="AA99" s="231"/>
      <c r="AB99" s="231"/>
      <c r="AC99" s="231"/>
      <c r="AD99" s="232"/>
      <c r="AE99" s="230"/>
      <c r="AF99" s="231"/>
      <c r="AG99" s="231"/>
      <c r="AH99" s="231"/>
      <c r="AI99" s="231"/>
      <c r="AJ99" s="231"/>
      <c r="AK99" s="231"/>
      <c r="AL99" s="232"/>
      <c r="AM99" s="51" t="e">
        <f>+C99-#REF!</f>
        <v>#REF!</v>
      </c>
    </row>
    <row r="100" spans="1:39" ht="24" customHeight="1">
      <c r="A100" s="229">
        <v>91</v>
      </c>
      <c r="B100" s="110" t="s">
        <v>355</v>
      </c>
      <c r="C100" s="230">
        <f t="shared" si="35"/>
        <v>40</v>
      </c>
      <c r="D100" s="231">
        <f t="shared" si="35"/>
        <v>40</v>
      </c>
      <c r="E100" s="231">
        <f t="shared" si="32"/>
        <v>100</v>
      </c>
      <c r="F100" s="231">
        <f t="shared" si="33"/>
        <v>0</v>
      </c>
      <c r="G100" s="231"/>
      <c r="H100" s="231"/>
      <c r="I100" s="231"/>
      <c r="J100" s="232"/>
      <c r="K100" s="230">
        <v>40</v>
      </c>
      <c r="L100" s="231">
        <v>40</v>
      </c>
      <c r="M100" s="231">
        <f t="shared" si="29"/>
        <v>100</v>
      </c>
      <c r="N100" s="231">
        <f t="shared" si="34"/>
        <v>0</v>
      </c>
      <c r="O100" s="231"/>
      <c r="P100" s="231"/>
      <c r="Q100" s="231"/>
      <c r="R100" s="232"/>
      <c r="S100" s="233"/>
      <c r="T100" s="231"/>
      <c r="U100" s="231"/>
      <c r="V100" s="234"/>
      <c r="W100" s="230"/>
      <c r="X100" s="231"/>
      <c r="Y100" s="231"/>
      <c r="Z100" s="231"/>
      <c r="AA100" s="231"/>
      <c r="AB100" s="231"/>
      <c r="AC100" s="231"/>
      <c r="AD100" s="232"/>
      <c r="AE100" s="230"/>
      <c r="AF100" s="231"/>
      <c r="AG100" s="231"/>
      <c r="AH100" s="231"/>
      <c r="AI100" s="231"/>
      <c r="AJ100" s="231"/>
      <c r="AK100" s="231"/>
      <c r="AL100" s="232"/>
      <c r="AM100" s="51" t="e">
        <f>+C100-#REF!</f>
        <v>#REF!</v>
      </c>
    </row>
    <row r="101" spans="1:39" ht="12.75" customHeight="1">
      <c r="A101" s="229">
        <v>92</v>
      </c>
      <c r="B101" s="110" t="s">
        <v>356</v>
      </c>
      <c r="C101" s="230">
        <f t="shared" si="35"/>
        <v>23</v>
      </c>
      <c r="D101" s="231">
        <f t="shared" si="35"/>
        <v>20</v>
      </c>
      <c r="E101" s="231">
        <f t="shared" si="32"/>
        <v>86.956521739130437</v>
      </c>
      <c r="F101" s="231">
        <f t="shared" si="33"/>
        <v>-3</v>
      </c>
      <c r="G101" s="231"/>
      <c r="H101" s="231"/>
      <c r="I101" s="231"/>
      <c r="J101" s="232"/>
      <c r="K101" s="230">
        <v>23</v>
      </c>
      <c r="L101" s="231">
        <v>20</v>
      </c>
      <c r="M101" s="231">
        <f t="shared" si="29"/>
        <v>86.956521739130437</v>
      </c>
      <c r="N101" s="231">
        <f t="shared" si="34"/>
        <v>-3</v>
      </c>
      <c r="O101" s="231"/>
      <c r="P101" s="231"/>
      <c r="Q101" s="231"/>
      <c r="R101" s="232"/>
      <c r="S101" s="233"/>
      <c r="T101" s="231"/>
      <c r="U101" s="231"/>
      <c r="V101" s="234"/>
      <c r="W101" s="230"/>
      <c r="X101" s="231"/>
      <c r="Y101" s="231"/>
      <c r="Z101" s="231"/>
      <c r="AA101" s="231"/>
      <c r="AB101" s="231"/>
      <c r="AC101" s="231"/>
      <c r="AD101" s="232"/>
      <c r="AE101" s="230"/>
      <c r="AF101" s="231"/>
      <c r="AG101" s="231"/>
      <c r="AH101" s="231"/>
      <c r="AI101" s="231"/>
      <c r="AJ101" s="231"/>
      <c r="AK101" s="231"/>
      <c r="AL101" s="232"/>
      <c r="AM101" s="51"/>
    </row>
    <row r="102" spans="1:39" ht="24" customHeight="1">
      <c r="A102" s="229">
        <v>93</v>
      </c>
      <c r="B102" s="110" t="s">
        <v>357</v>
      </c>
      <c r="C102" s="230"/>
      <c r="D102" s="231">
        <f t="shared" si="35"/>
        <v>75</v>
      </c>
      <c r="E102" s="231"/>
      <c r="F102" s="231">
        <f t="shared" si="33"/>
        <v>75</v>
      </c>
      <c r="G102" s="231"/>
      <c r="H102" s="231"/>
      <c r="I102" s="231"/>
      <c r="J102" s="232"/>
      <c r="K102" s="230"/>
      <c r="L102" s="231">
        <v>75</v>
      </c>
      <c r="M102" s="231"/>
      <c r="N102" s="231">
        <f>+L102-K102</f>
        <v>75</v>
      </c>
      <c r="O102" s="231"/>
      <c r="P102" s="231"/>
      <c r="Q102" s="231"/>
      <c r="R102" s="232"/>
      <c r="S102" s="233"/>
      <c r="T102" s="231"/>
      <c r="U102" s="231"/>
      <c r="V102" s="234"/>
      <c r="W102" s="230"/>
      <c r="X102" s="231"/>
      <c r="Y102" s="231"/>
      <c r="Z102" s="231"/>
      <c r="AA102" s="231"/>
      <c r="AB102" s="231"/>
      <c r="AC102" s="231"/>
      <c r="AD102" s="232"/>
      <c r="AE102" s="230"/>
      <c r="AF102" s="231"/>
      <c r="AG102" s="231"/>
      <c r="AH102" s="231"/>
      <c r="AI102" s="231"/>
      <c r="AJ102" s="231"/>
      <c r="AK102" s="231"/>
      <c r="AL102" s="232"/>
      <c r="AM102" s="51"/>
    </row>
    <row r="103" spans="1:39" ht="24" customHeight="1">
      <c r="A103" s="229">
        <v>94</v>
      </c>
      <c r="B103" s="110" t="s">
        <v>358</v>
      </c>
      <c r="C103" s="230"/>
      <c r="D103" s="231">
        <f t="shared" si="35"/>
        <v>25</v>
      </c>
      <c r="E103" s="231"/>
      <c r="F103" s="231">
        <f t="shared" si="33"/>
        <v>25</v>
      </c>
      <c r="G103" s="231"/>
      <c r="H103" s="231"/>
      <c r="I103" s="231"/>
      <c r="J103" s="232"/>
      <c r="K103" s="230"/>
      <c r="L103" s="231">
        <v>25</v>
      </c>
      <c r="M103" s="231"/>
      <c r="N103" s="231">
        <f>+L103-K103</f>
        <v>25</v>
      </c>
      <c r="O103" s="231"/>
      <c r="P103" s="231"/>
      <c r="Q103" s="231"/>
      <c r="R103" s="232"/>
      <c r="S103" s="233"/>
      <c r="T103" s="231"/>
      <c r="U103" s="231"/>
      <c r="V103" s="234"/>
      <c r="W103" s="230"/>
      <c r="X103" s="231"/>
      <c r="Y103" s="231"/>
      <c r="Z103" s="231"/>
      <c r="AA103" s="231"/>
      <c r="AB103" s="231"/>
      <c r="AC103" s="231"/>
      <c r="AD103" s="232"/>
      <c r="AE103" s="230"/>
      <c r="AF103" s="231"/>
      <c r="AG103" s="231"/>
      <c r="AH103" s="231"/>
      <c r="AI103" s="231"/>
      <c r="AJ103" s="231"/>
      <c r="AK103" s="231"/>
      <c r="AL103" s="232"/>
      <c r="AM103" s="51"/>
    </row>
    <row r="104" spans="1:39" ht="24" customHeight="1">
      <c r="A104" s="229">
        <v>95</v>
      </c>
      <c r="B104" s="110" t="s">
        <v>359</v>
      </c>
      <c r="C104" s="230">
        <f t="shared" si="35"/>
        <v>26</v>
      </c>
      <c r="D104" s="231">
        <f t="shared" si="35"/>
        <v>28</v>
      </c>
      <c r="E104" s="231">
        <f t="shared" si="32"/>
        <v>107.69230769230769</v>
      </c>
      <c r="F104" s="231">
        <f t="shared" si="33"/>
        <v>2</v>
      </c>
      <c r="G104" s="231"/>
      <c r="H104" s="231"/>
      <c r="I104" s="231"/>
      <c r="J104" s="232"/>
      <c r="K104" s="230">
        <v>26</v>
      </c>
      <c r="L104" s="231">
        <v>28</v>
      </c>
      <c r="M104" s="231">
        <f t="shared" si="29"/>
        <v>107.69230769230769</v>
      </c>
      <c r="N104" s="231">
        <f t="shared" si="34"/>
        <v>2</v>
      </c>
      <c r="O104" s="231"/>
      <c r="P104" s="231"/>
      <c r="Q104" s="231"/>
      <c r="R104" s="232"/>
      <c r="S104" s="233"/>
      <c r="T104" s="231"/>
      <c r="U104" s="231"/>
      <c r="V104" s="234"/>
      <c r="W104" s="230"/>
      <c r="X104" s="231"/>
      <c r="Y104" s="231"/>
      <c r="Z104" s="231"/>
      <c r="AA104" s="231"/>
      <c r="AB104" s="231"/>
      <c r="AC104" s="231"/>
      <c r="AD104" s="232"/>
      <c r="AE104" s="230"/>
      <c r="AF104" s="231"/>
      <c r="AG104" s="231"/>
      <c r="AH104" s="231"/>
      <c r="AI104" s="231"/>
      <c r="AJ104" s="231"/>
      <c r="AK104" s="231"/>
      <c r="AL104" s="232"/>
      <c r="AM104" s="51"/>
    </row>
    <row r="105" spans="1:39" ht="12.75" customHeight="1">
      <c r="A105" s="229">
        <v>96</v>
      </c>
      <c r="B105" s="110" t="s">
        <v>360</v>
      </c>
      <c r="C105" s="230">
        <f t="shared" si="35"/>
        <v>35</v>
      </c>
      <c r="D105" s="231">
        <f t="shared" si="35"/>
        <v>35</v>
      </c>
      <c r="E105" s="231">
        <f t="shared" si="32"/>
        <v>100</v>
      </c>
      <c r="F105" s="231">
        <f t="shared" si="33"/>
        <v>0</v>
      </c>
      <c r="G105" s="231"/>
      <c r="H105" s="231"/>
      <c r="I105" s="231"/>
      <c r="J105" s="232"/>
      <c r="K105" s="230">
        <v>35</v>
      </c>
      <c r="L105" s="231">
        <v>35</v>
      </c>
      <c r="M105" s="231">
        <f t="shared" si="29"/>
        <v>100</v>
      </c>
      <c r="N105" s="231">
        <f t="shared" si="34"/>
        <v>0</v>
      </c>
      <c r="O105" s="231"/>
      <c r="P105" s="231"/>
      <c r="Q105" s="231"/>
      <c r="R105" s="232"/>
      <c r="S105" s="233"/>
      <c r="T105" s="231"/>
      <c r="U105" s="231"/>
      <c r="V105" s="234"/>
      <c r="W105" s="230"/>
      <c r="X105" s="231"/>
      <c r="Y105" s="231"/>
      <c r="Z105" s="231"/>
      <c r="AA105" s="231"/>
      <c r="AB105" s="231"/>
      <c r="AC105" s="231"/>
      <c r="AD105" s="232"/>
      <c r="AE105" s="230"/>
      <c r="AF105" s="231"/>
      <c r="AG105" s="231"/>
      <c r="AH105" s="231"/>
      <c r="AI105" s="231"/>
      <c r="AJ105" s="231"/>
      <c r="AK105" s="231"/>
      <c r="AL105" s="232"/>
      <c r="AM105" s="51" t="e">
        <f>+C105-#REF!</f>
        <v>#REF!</v>
      </c>
    </row>
    <row r="106" spans="1:39" ht="24" customHeight="1">
      <c r="A106" s="229">
        <v>97</v>
      </c>
      <c r="B106" s="110" t="s">
        <v>361</v>
      </c>
      <c r="C106" s="230">
        <f t="shared" si="35"/>
        <v>35</v>
      </c>
      <c r="D106" s="231">
        <f t="shared" si="35"/>
        <v>35</v>
      </c>
      <c r="E106" s="231">
        <f t="shared" si="32"/>
        <v>100</v>
      </c>
      <c r="F106" s="231">
        <f t="shared" si="33"/>
        <v>0</v>
      </c>
      <c r="G106" s="231"/>
      <c r="H106" s="231"/>
      <c r="I106" s="231"/>
      <c r="J106" s="232"/>
      <c r="K106" s="230">
        <v>35</v>
      </c>
      <c r="L106" s="231">
        <v>35</v>
      </c>
      <c r="M106" s="231">
        <f t="shared" si="29"/>
        <v>100</v>
      </c>
      <c r="N106" s="231">
        <f t="shared" si="34"/>
        <v>0</v>
      </c>
      <c r="O106" s="231"/>
      <c r="P106" s="231"/>
      <c r="Q106" s="231"/>
      <c r="R106" s="232"/>
      <c r="S106" s="233"/>
      <c r="T106" s="231"/>
      <c r="U106" s="231"/>
      <c r="V106" s="234"/>
      <c r="W106" s="230"/>
      <c r="X106" s="231"/>
      <c r="Y106" s="231"/>
      <c r="Z106" s="231"/>
      <c r="AA106" s="231"/>
      <c r="AB106" s="231"/>
      <c r="AC106" s="231"/>
      <c r="AD106" s="232"/>
      <c r="AE106" s="230"/>
      <c r="AF106" s="231"/>
      <c r="AG106" s="231"/>
      <c r="AH106" s="231"/>
      <c r="AI106" s="231"/>
      <c r="AJ106" s="231"/>
      <c r="AK106" s="231"/>
      <c r="AL106" s="232"/>
      <c r="AM106" s="51" t="e">
        <f>+C106-#REF!</f>
        <v>#REF!</v>
      </c>
    </row>
    <row r="107" spans="1:39" ht="23.45" customHeight="1">
      <c r="A107" s="229">
        <v>98</v>
      </c>
      <c r="B107" s="111" t="s">
        <v>362</v>
      </c>
      <c r="C107" s="230">
        <f t="shared" si="35"/>
        <v>88</v>
      </c>
      <c r="D107" s="231">
        <f t="shared" si="35"/>
        <v>97</v>
      </c>
      <c r="E107" s="231">
        <f t="shared" si="32"/>
        <v>110.22727272727273</v>
      </c>
      <c r="F107" s="231">
        <f t="shared" si="33"/>
        <v>9</v>
      </c>
      <c r="G107" s="231"/>
      <c r="H107" s="231"/>
      <c r="I107" s="231"/>
      <c r="J107" s="232"/>
      <c r="K107" s="230">
        <f>48+40</f>
        <v>88</v>
      </c>
      <c r="L107" s="231">
        <v>97</v>
      </c>
      <c r="M107" s="231">
        <f t="shared" si="29"/>
        <v>110.22727272727273</v>
      </c>
      <c r="N107" s="231">
        <f t="shared" si="34"/>
        <v>9</v>
      </c>
      <c r="O107" s="231"/>
      <c r="P107" s="231"/>
      <c r="Q107" s="231"/>
      <c r="R107" s="232"/>
      <c r="S107" s="233"/>
      <c r="T107" s="231"/>
      <c r="U107" s="231"/>
      <c r="V107" s="234"/>
      <c r="W107" s="230"/>
      <c r="X107" s="231"/>
      <c r="Y107" s="231"/>
      <c r="Z107" s="231"/>
      <c r="AA107" s="231"/>
      <c r="AB107" s="231"/>
      <c r="AC107" s="231"/>
      <c r="AD107" s="232"/>
      <c r="AE107" s="230"/>
      <c r="AF107" s="231"/>
      <c r="AG107" s="231"/>
      <c r="AH107" s="231"/>
      <c r="AI107" s="231"/>
      <c r="AJ107" s="231"/>
      <c r="AK107" s="231"/>
      <c r="AL107" s="232"/>
      <c r="AM107" s="51" t="e">
        <f>+C107-#REF!</f>
        <v>#REF!</v>
      </c>
    </row>
    <row r="108" spans="1:39" ht="12.75" customHeight="1">
      <c r="A108" s="229">
        <v>99</v>
      </c>
      <c r="B108" s="110" t="s">
        <v>363</v>
      </c>
      <c r="C108" s="230">
        <f t="shared" si="35"/>
        <v>220</v>
      </c>
      <c r="D108" s="231">
        <f t="shared" si="35"/>
        <v>240</v>
      </c>
      <c r="E108" s="231">
        <f t="shared" si="32"/>
        <v>109.09090909090908</v>
      </c>
      <c r="F108" s="231">
        <f t="shared" si="33"/>
        <v>20</v>
      </c>
      <c r="G108" s="231"/>
      <c r="H108" s="231"/>
      <c r="I108" s="231"/>
      <c r="J108" s="232"/>
      <c r="K108" s="230">
        <v>220</v>
      </c>
      <c r="L108" s="231">
        <v>240</v>
      </c>
      <c r="M108" s="231">
        <f t="shared" si="29"/>
        <v>109.09090909090908</v>
      </c>
      <c r="N108" s="231">
        <f t="shared" si="34"/>
        <v>20</v>
      </c>
      <c r="O108" s="231"/>
      <c r="P108" s="231"/>
      <c r="Q108" s="231"/>
      <c r="R108" s="232"/>
      <c r="S108" s="233"/>
      <c r="T108" s="231"/>
      <c r="U108" s="231"/>
      <c r="V108" s="234"/>
      <c r="W108" s="230"/>
      <c r="X108" s="231"/>
      <c r="Y108" s="231"/>
      <c r="Z108" s="231"/>
      <c r="AA108" s="231"/>
      <c r="AB108" s="231"/>
      <c r="AC108" s="231"/>
      <c r="AD108" s="232"/>
      <c r="AE108" s="230"/>
      <c r="AF108" s="231"/>
      <c r="AG108" s="231"/>
      <c r="AH108" s="231"/>
      <c r="AI108" s="231"/>
      <c r="AJ108" s="231"/>
      <c r="AK108" s="231"/>
      <c r="AL108" s="232"/>
      <c r="AM108" s="51" t="e">
        <f>+C108-#REF!</f>
        <v>#REF!</v>
      </c>
    </row>
    <row r="109" spans="1:39" ht="21.75" customHeight="1">
      <c r="A109" s="229">
        <v>100</v>
      </c>
      <c r="B109" s="110" t="s">
        <v>364</v>
      </c>
      <c r="C109" s="230">
        <f t="shared" si="35"/>
        <v>518.20000000000005</v>
      </c>
      <c r="D109" s="231">
        <f t="shared" si="35"/>
        <v>560</v>
      </c>
      <c r="E109" s="231">
        <f t="shared" si="32"/>
        <v>108.06638363566191</v>
      </c>
      <c r="F109" s="231">
        <f t="shared" si="33"/>
        <v>41.799999999999955</v>
      </c>
      <c r="G109" s="231"/>
      <c r="H109" s="231"/>
      <c r="I109" s="231"/>
      <c r="J109" s="232"/>
      <c r="K109" s="230">
        <v>518.20000000000005</v>
      </c>
      <c r="L109" s="231">
        <v>560</v>
      </c>
      <c r="M109" s="231">
        <f t="shared" si="29"/>
        <v>108.06638363566191</v>
      </c>
      <c r="N109" s="231">
        <f t="shared" si="34"/>
        <v>41.799999999999955</v>
      </c>
      <c r="O109" s="231"/>
      <c r="P109" s="231"/>
      <c r="Q109" s="231"/>
      <c r="R109" s="232"/>
      <c r="S109" s="233"/>
      <c r="T109" s="231"/>
      <c r="U109" s="231"/>
      <c r="V109" s="234"/>
      <c r="W109" s="230"/>
      <c r="X109" s="231"/>
      <c r="Y109" s="231"/>
      <c r="Z109" s="231"/>
      <c r="AA109" s="231"/>
      <c r="AB109" s="231"/>
      <c r="AC109" s="231"/>
      <c r="AD109" s="232"/>
      <c r="AE109" s="230"/>
      <c r="AF109" s="231"/>
      <c r="AG109" s="231"/>
      <c r="AH109" s="231"/>
      <c r="AI109" s="231"/>
      <c r="AJ109" s="231"/>
      <c r="AK109" s="231"/>
      <c r="AL109" s="232"/>
      <c r="AM109" s="51" t="e">
        <f>+C109-#REF!</f>
        <v>#REF!</v>
      </c>
    </row>
    <row r="110" spans="1:39" ht="12" customHeight="1">
      <c r="A110" s="229">
        <v>101</v>
      </c>
      <c r="B110" s="110" t="s">
        <v>365</v>
      </c>
      <c r="C110" s="230">
        <f t="shared" si="35"/>
        <v>24.8</v>
      </c>
      <c r="D110" s="231">
        <f t="shared" si="35"/>
        <v>24.8</v>
      </c>
      <c r="E110" s="231">
        <f t="shared" si="32"/>
        <v>100</v>
      </c>
      <c r="F110" s="231">
        <f t="shared" si="33"/>
        <v>0</v>
      </c>
      <c r="G110" s="231"/>
      <c r="H110" s="231"/>
      <c r="I110" s="231"/>
      <c r="J110" s="232"/>
      <c r="K110" s="230">
        <v>24.8</v>
      </c>
      <c r="L110" s="231">
        <v>24.8</v>
      </c>
      <c r="M110" s="231">
        <f t="shared" si="29"/>
        <v>100</v>
      </c>
      <c r="N110" s="231">
        <f t="shared" si="34"/>
        <v>0</v>
      </c>
      <c r="O110" s="231"/>
      <c r="P110" s="231"/>
      <c r="Q110" s="231"/>
      <c r="R110" s="232"/>
      <c r="S110" s="233"/>
      <c r="T110" s="231"/>
      <c r="U110" s="231"/>
      <c r="V110" s="234"/>
      <c r="W110" s="230"/>
      <c r="X110" s="231"/>
      <c r="Y110" s="231"/>
      <c r="Z110" s="231"/>
      <c r="AA110" s="231"/>
      <c r="AB110" s="231"/>
      <c r="AC110" s="231"/>
      <c r="AD110" s="232"/>
      <c r="AE110" s="230"/>
      <c r="AF110" s="231"/>
      <c r="AG110" s="231"/>
      <c r="AH110" s="231"/>
      <c r="AI110" s="231"/>
      <c r="AJ110" s="231"/>
      <c r="AK110" s="231"/>
      <c r="AL110" s="232"/>
      <c r="AM110" s="51" t="e">
        <f>+C110-#REF!</f>
        <v>#REF!</v>
      </c>
    </row>
    <row r="111" spans="1:39" ht="13.5" customHeight="1">
      <c r="A111" s="229">
        <v>102</v>
      </c>
      <c r="B111" s="111" t="s">
        <v>366</v>
      </c>
      <c r="C111" s="230">
        <f t="shared" si="35"/>
        <v>1276.0999999999999</v>
      </c>
      <c r="D111" s="231">
        <f t="shared" si="35"/>
        <v>1279.9000000000001</v>
      </c>
      <c r="E111" s="231">
        <f t="shared" si="32"/>
        <v>100.29778230546196</v>
      </c>
      <c r="F111" s="231">
        <f t="shared" si="33"/>
        <v>3.8000000000001819</v>
      </c>
      <c r="G111" s="231"/>
      <c r="H111" s="231"/>
      <c r="I111" s="231"/>
      <c r="J111" s="232"/>
      <c r="K111" s="230">
        <v>1276.0999999999999</v>
      </c>
      <c r="L111" s="231">
        <v>1279.9000000000001</v>
      </c>
      <c r="M111" s="231">
        <f t="shared" si="29"/>
        <v>100.29778230546196</v>
      </c>
      <c r="N111" s="231">
        <f t="shared" si="34"/>
        <v>3.8000000000001819</v>
      </c>
      <c r="O111" s="231"/>
      <c r="P111" s="231"/>
      <c r="Q111" s="231"/>
      <c r="R111" s="232"/>
      <c r="S111" s="233"/>
      <c r="T111" s="231"/>
      <c r="U111" s="231"/>
      <c r="V111" s="234"/>
      <c r="W111" s="230"/>
      <c r="X111" s="231"/>
      <c r="Y111" s="231"/>
      <c r="Z111" s="231"/>
      <c r="AA111" s="231"/>
      <c r="AB111" s="231"/>
      <c r="AC111" s="231"/>
      <c r="AD111" s="232"/>
      <c r="AE111" s="230"/>
      <c r="AF111" s="231"/>
      <c r="AG111" s="231"/>
      <c r="AH111" s="231"/>
      <c r="AI111" s="231"/>
      <c r="AJ111" s="231"/>
      <c r="AK111" s="231"/>
      <c r="AL111" s="232"/>
      <c r="AM111" s="51"/>
    </row>
    <row r="112" spans="1:39" ht="12.75" customHeight="1">
      <c r="A112" s="229">
        <v>103</v>
      </c>
      <c r="B112" s="114" t="s">
        <v>367</v>
      </c>
      <c r="C112" s="230">
        <f t="shared" si="35"/>
        <v>330</v>
      </c>
      <c r="D112" s="231">
        <f t="shared" si="35"/>
        <v>500</v>
      </c>
      <c r="E112" s="231">
        <f t="shared" si="32"/>
        <v>151.5151515151515</v>
      </c>
      <c r="F112" s="231">
        <f t="shared" si="33"/>
        <v>170</v>
      </c>
      <c r="G112" s="231"/>
      <c r="H112" s="231"/>
      <c r="I112" s="231"/>
      <c r="J112" s="232"/>
      <c r="K112" s="230">
        <v>330</v>
      </c>
      <c r="L112" s="231">
        <v>500</v>
      </c>
      <c r="M112" s="231">
        <f t="shared" si="29"/>
        <v>151.5151515151515</v>
      </c>
      <c r="N112" s="231">
        <f t="shared" si="34"/>
        <v>170</v>
      </c>
      <c r="O112" s="231"/>
      <c r="P112" s="231"/>
      <c r="Q112" s="231"/>
      <c r="R112" s="232"/>
      <c r="S112" s="233"/>
      <c r="T112" s="231"/>
      <c r="U112" s="231"/>
      <c r="V112" s="234"/>
      <c r="W112" s="230"/>
      <c r="X112" s="231"/>
      <c r="Y112" s="231"/>
      <c r="Z112" s="231"/>
      <c r="AA112" s="231"/>
      <c r="AB112" s="231"/>
      <c r="AC112" s="231"/>
      <c r="AD112" s="232"/>
      <c r="AE112" s="230"/>
      <c r="AF112" s="231"/>
      <c r="AG112" s="231"/>
      <c r="AH112" s="231"/>
      <c r="AI112" s="231"/>
      <c r="AJ112" s="231"/>
      <c r="AK112" s="231"/>
      <c r="AL112" s="232"/>
      <c r="AM112" s="51" t="e">
        <f>+C112-#REF!</f>
        <v>#REF!</v>
      </c>
    </row>
    <row r="113" spans="1:39" ht="12.95" customHeight="1">
      <c r="A113" s="229">
        <v>104</v>
      </c>
      <c r="B113" s="110" t="s">
        <v>368</v>
      </c>
      <c r="C113" s="230">
        <f t="shared" si="35"/>
        <v>2414.9</v>
      </c>
      <c r="D113" s="231">
        <f t="shared" si="35"/>
        <v>4250</v>
      </c>
      <c r="E113" s="231">
        <f t="shared" si="32"/>
        <v>175.99072425359228</v>
      </c>
      <c r="F113" s="231">
        <f t="shared" si="33"/>
        <v>1835.1</v>
      </c>
      <c r="G113" s="231"/>
      <c r="H113" s="231"/>
      <c r="I113" s="231"/>
      <c r="J113" s="232"/>
      <c r="K113" s="230">
        <f>64.9+2350</f>
        <v>2414.9</v>
      </c>
      <c r="L113" s="231">
        <v>4250</v>
      </c>
      <c r="M113" s="231">
        <f t="shared" si="29"/>
        <v>175.99072425359228</v>
      </c>
      <c r="N113" s="231">
        <f t="shared" si="34"/>
        <v>1835.1</v>
      </c>
      <c r="O113" s="231"/>
      <c r="P113" s="231"/>
      <c r="Q113" s="231"/>
      <c r="R113" s="232"/>
      <c r="S113" s="233"/>
      <c r="T113" s="231"/>
      <c r="U113" s="231"/>
      <c r="V113" s="234"/>
      <c r="W113" s="230"/>
      <c r="X113" s="231"/>
      <c r="Y113" s="231"/>
      <c r="Z113" s="231"/>
      <c r="AA113" s="231"/>
      <c r="AB113" s="231"/>
      <c r="AC113" s="231"/>
      <c r="AD113" s="232"/>
      <c r="AE113" s="230"/>
      <c r="AF113" s="231"/>
      <c r="AG113" s="231"/>
      <c r="AH113" s="231"/>
      <c r="AI113" s="231"/>
      <c r="AJ113" s="231"/>
      <c r="AK113" s="231"/>
      <c r="AL113" s="232"/>
      <c r="AM113" s="51" t="e">
        <f>+C113-#REF!</f>
        <v>#REF!</v>
      </c>
    </row>
    <row r="114" spans="1:39" ht="21.75" customHeight="1">
      <c r="A114" s="229">
        <v>105</v>
      </c>
      <c r="B114" s="115" t="s">
        <v>369</v>
      </c>
      <c r="C114" s="230">
        <f>+K114+W114+AE114</f>
        <v>58.4</v>
      </c>
      <c r="D114" s="231"/>
      <c r="E114" s="231"/>
      <c r="F114" s="231">
        <f t="shared" si="33"/>
        <v>-58.4</v>
      </c>
      <c r="G114" s="231"/>
      <c r="H114" s="231"/>
      <c r="I114" s="231"/>
      <c r="J114" s="232"/>
      <c r="K114" s="230"/>
      <c r="L114" s="231"/>
      <c r="M114" s="231"/>
      <c r="N114" s="231"/>
      <c r="O114" s="231"/>
      <c r="P114" s="231"/>
      <c r="Q114" s="231"/>
      <c r="R114" s="232">
        <f>+P114-O114</f>
        <v>0</v>
      </c>
      <c r="S114" s="233"/>
      <c r="T114" s="231"/>
      <c r="U114" s="231"/>
      <c r="V114" s="234"/>
      <c r="W114" s="230">
        <v>58.4</v>
      </c>
      <c r="X114" s="231"/>
      <c r="Y114" s="231"/>
      <c r="Z114" s="231">
        <f>+X114-W114</f>
        <v>-58.4</v>
      </c>
      <c r="AA114" s="231"/>
      <c r="AB114" s="231"/>
      <c r="AC114" s="231"/>
      <c r="AD114" s="232"/>
      <c r="AE114" s="230"/>
      <c r="AF114" s="231"/>
      <c r="AG114" s="231"/>
      <c r="AH114" s="231"/>
      <c r="AI114" s="231"/>
      <c r="AJ114" s="231"/>
      <c r="AK114" s="231"/>
      <c r="AL114" s="232"/>
      <c r="AM114" s="51"/>
    </row>
    <row r="115" spans="1:39" s="72" customFormat="1" ht="12.95" customHeight="1" thickBot="1">
      <c r="A115" s="235">
        <v>106</v>
      </c>
      <c r="B115" s="116" t="s">
        <v>370</v>
      </c>
      <c r="C115" s="242">
        <f>SUM(C10:C114)-C74</f>
        <v>131903.29999999999</v>
      </c>
      <c r="D115" s="243">
        <f>SUM(D10:D114)-D74</f>
        <v>130941.69999999994</v>
      </c>
      <c r="E115" s="244">
        <f t="shared" si="32"/>
        <v>99.270981089934779</v>
      </c>
      <c r="F115" s="243">
        <f>SUM(F10:F114)-F74</f>
        <v>-961.59999999999673</v>
      </c>
      <c r="G115" s="243">
        <f>SUM(G10:G114)-G74</f>
        <v>54708.3</v>
      </c>
      <c r="H115" s="243">
        <f>SUM(H10:H114)-H74</f>
        <v>55600.200000000004</v>
      </c>
      <c r="I115" s="244">
        <f>+H115/G115*100</f>
        <v>101.63028279072827</v>
      </c>
      <c r="J115" s="245">
        <f>SUM(J10:J114)-J74</f>
        <v>891.90000000000032</v>
      </c>
      <c r="K115" s="242">
        <f>SUM(K10:K114)-K74</f>
        <v>63183.299999999988</v>
      </c>
      <c r="L115" s="243">
        <f>SUM(L10:L114)-L74</f>
        <v>66382.699999999983</v>
      </c>
      <c r="M115" s="244">
        <f>+L115/K115*100</f>
        <v>105.06367980146652</v>
      </c>
      <c r="N115" s="243">
        <f>SUM(N10:N114)-N74</f>
        <v>3199.4000000000015</v>
      </c>
      <c r="O115" s="243">
        <f>SUM(O10:O114)-O74</f>
        <v>21956.700000000004</v>
      </c>
      <c r="P115" s="243">
        <f>SUM(P10:P114)-P74</f>
        <v>23321.399999999998</v>
      </c>
      <c r="Q115" s="244">
        <f>+P115/O115*100</f>
        <v>106.21541488475042</v>
      </c>
      <c r="R115" s="245">
        <f t="shared" ref="R115:X115" si="36">SUM(R10:R114)-R74</f>
        <v>1364.6999999999998</v>
      </c>
      <c r="S115" s="246">
        <f t="shared" si="36"/>
        <v>0</v>
      </c>
      <c r="T115" s="243">
        <f t="shared" si="36"/>
        <v>0</v>
      </c>
      <c r="U115" s="243">
        <f t="shared" si="36"/>
        <v>0</v>
      </c>
      <c r="V115" s="247">
        <f t="shared" si="36"/>
        <v>0</v>
      </c>
      <c r="W115" s="242">
        <f t="shared" si="36"/>
        <v>64087.500000000007</v>
      </c>
      <c r="X115" s="243">
        <f t="shared" si="36"/>
        <v>60019.6</v>
      </c>
      <c r="Y115" s="244">
        <f>+X115/W115*100</f>
        <v>93.65258435732396</v>
      </c>
      <c r="Z115" s="243">
        <f>SUM(Z10:Z114)-Z74</f>
        <v>-4067.8999999999996</v>
      </c>
      <c r="AA115" s="243">
        <f>SUM(AA10:AA114)-AA74</f>
        <v>32426.099999999995</v>
      </c>
      <c r="AB115" s="243">
        <f>SUM(AB10:AB114)-AB74</f>
        <v>31959.80000000001</v>
      </c>
      <c r="AC115" s="244">
        <f>+AB115/AA115*100</f>
        <v>98.561960889530397</v>
      </c>
      <c r="AD115" s="245">
        <f>SUM(AD10:AD114)-AD74</f>
        <v>-466.2999999999995</v>
      </c>
      <c r="AE115" s="242">
        <f>SUM(AE10:AE114)-AE74</f>
        <v>4632.5</v>
      </c>
      <c r="AF115" s="243">
        <f>SUM(AF10:AF114)-AF74</f>
        <v>4539.3999999999987</v>
      </c>
      <c r="AG115" s="244">
        <f>+AF115/AE115*100</f>
        <v>97.990286022665913</v>
      </c>
      <c r="AH115" s="243">
        <f>SUM(AH10:AH114)-AH74</f>
        <v>-93.100000000000151</v>
      </c>
      <c r="AI115" s="243">
        <f>SUM(AI10:AI114)-AI74</f>
        <v>325.5</v>
      </c>
      <c r="AJ115" s="243">
        <f>SUM(AJ10:AJ114)-AJ74</f>
        <v>319</v>
      </c>
      <c r="AK115" s="244">
        <f>+AJ115/AI115*100</f>
        <v>98.003072196620593</v>
      </c>
      <c r="AL115" s="245">
        <f>SUM(AL10:AL114)-AL74</f>
        <v>-6.5000000000000018</v>
      </c>
    </row>
    <row r="116" spans="1:39" ht="12.95" hidden="1" customHeight="1">
      <c r="A116" s="229">
        <v>107</v>
      </c>
      <c r="B116" s="117"/>
      <c r="C116" s="248">
        <f>+K115+O115+W115+AA115+AE115+AI115+S115</f>
        <v>186611.6</v>
      </c>
      <c r="D116" s="56">
        <f>+L115+P115+X115+AB115+AF115+AJ115+T115</f>
        <v>186541.9</v>
      </c>
      <c r="E116" s="53"/>
      <c r="F116" s="53"/>
      <c r="G116" s="53"/>
      <c r="H116" s="53"/>
      <c r="I116" s="53"/>
      <c r="J116" s="249"/>
      <c r="K116" s="250"/>
      <c r="L116" s="53"/>
      <c r="M116" s="53"/>
      <c r="N116" s="53"/>
      <c r="O116" s="53"/>
      <c r="P116" s="53"/>
      <c r="Q116" s="53"/>
      <c r="R116" s="249"/>
    </row>
    <row r="117" spans="1:39" s="256" customFormat="1" ht="12.95" hidden="1" customHeight="1">
      <c r="A117" s="229">
        <v>108</v>
      </c>
      <c r="B117" s="51">
        <f>+K117+O117+W117+AA117+AE117+AI117</f>
        <v>0</v>
      </c>
      <c r="C117" s="251">
        <f>+[3]Savar_5pr!$E$259</f>
        <v>144689.29999999999</v>
      </c>
      <c r="D117" s="252"/>
      <c r="E117" s="253"/>
      <c r="F117" s="253"/>
      <c r="G117" s="253"/>
      <c r="H117" s="253"/>
      <c r="I117" s="253"/>
      <c r="J117" s="254"/>
      <c r="K117" s="255"/>
      <c r="L117" s="253">
        <v>80560.7</v>
      </c>
      <c r="M117" s="253"/>
      <c r="N117" s="253"/>
      <c r="O117" s="253"/>
      <c r="P117" s="252">
        <f>+P115+T115</f>
        <v>23321.399999999998</v>
      </c>
      <c r="Q117" s="253"/>
      <c r="R117" s="254"/>
      <c r="W117" s="257"/>
      <c r="X117" s="257"/>
      <c r="Y117" s="257"/>
      <c r="Z117" s="257"/>
      <c r="AA117" s="257"/>
      <c r="AB117" s="257">
        <v>217.6</v>
      </c>
      <c r="AC117" s="257"/>
      <c r="AD117" s="257"/>
      <c r="AE117" s="118"/>
      <c r="AF117" s="118">
        <v>928.8</v>
      </c>
      <c r="AG117" s="118"/>
      <c r="AH117" s="118"/>
      <c r="AI117" s="118"/>
      <c r="AJ117" s="118"/>
      <c r="AK117" s="118"/>
      <c r="AL117" s="118"/>
    </row>
    <row r="118" spans="1:39" ht="12.95" hidden="1" customHeight="1">
      <c r="A118" s="229">
        <v>109</v>
      </c>
      <c r="B118" s="119">
        <f>+C115-B117</f>
        <v>131903.29999999999</v>
      </c>
      <c r="C118" s="258">
        <f>+C115-B117</f>
        <v>131903.29999999999</v>
      </c>
      <c r="D118" s="259">
        <f>+D115-C117</f>
        <v>-13747.600000000049</v>
      </c>
      <c r="E118" s="53"/>
      <c r="F118" s="53"/>
      <c r="G118" s="53"/>
      <c r="H118" s="53"/>
      <c r="I118" s="53"/>
      <c r="J118" s="249"/>
      <c r="K118" s="258"/>
      <c r="L118" s="259"/>
      <c r="M118" s="259"/>
      <c r="N118" s="259"/>
      <c r="O118" s="259"/>
      <c r="P118" s="259"/>
      <c r="Q118" s="259"/>
      <c r="R118" s="260"/>
      <c r="S118" s="261"/>
      <c r="T118" s="261"/>
      <c r="U118" s="261"/>
      <c r="V118" s="261"/>
      <c r="W118" s="261"/>
      <c r="X118" s="261"/>
      <c r="Y118" s="261"/>
      <c r="Z118" s="261"/>
      <c r="AA118" s="261"/>
      <c r="AB118" s="261"/>
      <c r="AC118" s="261"/>
      <c r="AD118" s="261"/>
      <c r="AE118" s="261"/>
      <c r="AF118" s="261"/>
      <c r="AG118" s="261"/>
      <c r="AH118" s="261"/>
      <c r="AI118" s="261"/>
      <c r="AJ118" s="261"/>
      <c r="AK118" s="261"/>
      <c r="AL118" s="261"/>
    </row>
    <row r="119" spans="1:39" ht="12.95" hidden="1" customHeight="1">
      <c r="A119" s="229">
        <v>110</v>
      </c>
      <c r="B119" s="119"/>
      <c r="C119" s="258"/>
      <c r="D119" s="53"/>
      <c r="E119" s="53"/>
      <c r="F119" s="53"/>
      <c r="G119" s="53"/>
      <c r="H119" s="53"/>
      <c r="I119" s="53"/>
      <c r="J119" s="249"/>
      <c r="K119" s="258"/>
      <c r="L119" s="259"/>
      <c r="M119" s="259"/>
      <c r="N119" s="259"/>
      <c r="O119" s="259"/>
      <c r="P119" s="259"/>
      <c r="Q119" s="259"/>
      <c r="R119" s="260"/>
      <c r="S119" s="261"/>
      <c r="T119" s="261"/>
      <c r="U119" s="261"/>
      <c r="V119" s="261"/>
      <c r="W119" s="261"/>
      <c r="X119" s="261"/>
      <c r="Y119" s="261"/>
      <c r="Z119" s="261"/>
      <c r="AA119" s="261"/>
      <c r="AB119" s="261"/>
      <c r="AC119" s="261"/>
      <c r="AD119" s="261"/>
      <c r="AE119" s="261"/>
      <c r="AF119" s="261"/>
      <c r="AG119" s="261"/>
      <c r="AH119" s="261"/>
      <c r="AI119" s="261"/>
      <c r="AJ119" s="261"/>
      <c r="AK119" s="261"/>
      <c r="AL119" s="261"/>
    </row>
    <row r="120" spans="1:39" ht="12.95" hidden="1" customHeight="1">
      <c r="A120" s="229">
        <v>111</v>
      </c>
      <c r="B120" s="119"/>
      <c r="C120" s="258"/>
      <c r="D120" s="53"/>
      <c r="E120" s="53"/>
      <c r="F120" s="53"/>
      <c r="G120" s="53"/>
      <c r="H120" s="53"/>
      <c r="I120" s="53"/>
      <c r="J120" s="249"/>
      <c r="K120" s="258"/>
      <c r="L120" s="259"/>
      <c r="M120" s="259"/>
      <c r="N120" s="259"/>
      <c r="O120" s="259"/>
      <c r="P120" s="259"/>
      <c r="Q120" s="259"/>
      <c r="R120" s="260"/>
      <c r="S120" s="261"/>
      <c r="T120" s="261"/>
      <c r="U120" s="261"/>
      <c r="V120" s="261"/>
      <c r="W120" s="261"/>
      <c r="X120" s="261"/>
      <c r="Y120" s="261"/>
      <c r="Z120" s="261"/>
      <c r="AA120" s="261"/>
      <c r="AB120" s="261"/>
      <c r="AC120" s="261"/>
      <c r="AD120" s="261"/>
      <c r="AE120" s="261"/>
      <c r="AF120" s="261"/>
      <c r="AG120" s="261"/>
      <c r="AH120" s="261"/>
      <c r="AI120" s="261"/>
      <c r="AJ120" s="261"/>
      <c r="AK120" s="261"/>
      <c r="AL120" s="261"/>
    </row>
    <row r="121" spans="1:39" ht="12.95" hidden="1" customHeight="1">
      <c r="A121" s="229">
        <v>112</v>
      </c>
      <c r="B121" s="119"/>
      <c r="C121" s="258"/>
      <c r="D121" s="53"/>
      <c r="E121" s="53"/>
      <c r="F121" s="53"/>
      <c r="G121" s="53"/>
      <c r="H121" s="53"/>
      <c r="I121" s="53"/>
      <c r="J121" s="249"/>
      <c r="K121" s="258"/>
      <c r="L121" s="259"/>
      <c r="M121" s="259"/>
      <c r="N121" s="259"/>
      <c r="O121" s="259"/>
      <c r="P121" s="259"/>
      <c r="Q121" s="259"/>
      <c r="R121" s="260"/>
      <c r="S121" s="261"/>
      <c r="T121" s="261"/>
      <c r="U121" s="261"/>
      <c r="V121" s="261"/>
      <c r="W121" s="261"/>
      <c r="X121" s="261"/>
      <c r="Y121" s="261"/>
      <c r="Z121" s="261"/>
      <c r="AA121" s="261"/>
      <c r="AB121" s="261"/>
      <c r="AC121" s="261"/>
      <c r="AD121" s="261"/>
      <c r="AE121" s="261"/>
      <c r="AF121" s="261"/>
      <c r="AG121" s="261"/>
      <c r="AH121" s="261"/>
      <c r="AI121" s="261"/>
      <c r="AJ121" s="261"/>
      <c r="AK121" s="261"/>
      <c r="AL121" s="261"/>
    </row>
    <row r="122" spans="1:39" ht="12.95" hidden="1" customHeight="1">
      <c r="A122" s="229">
        <v>113</v>
      </c>
      <c r="B122" s="119"/>
      <c r="C122" s="258"/>
      <c r="D122" s="53"/>
      <c r="E122" s="53"/>
      <c r="F122" s="53"/>
      <c r="G122" s="53"/>
      <c r="H122" s="53"/>
      <c r="I122" s="53"/>
      <c r="J122" s="249"/>
      <c r="K122" s="258"/>
      <c r="L122" s="259"/>
      <c r="M122" s="259"/>
      <c r="N122" s="259"/>
      <c r="O122" s="259"/>
      <c r="P122" s="259"/>
      <c r="Q122" s="259"/>
      <c r="R122" s="260"/>
      <c r="S122" s="261"/>
      <c r="T122" s="261"/>
      <c r="U122" s="261"/>
      <c r="V122" s="261"/>
      <c r="W122" s="261"/>
      <c r="X122" s="261"/>
      <c r="Y122" s="261"/>
      <c r="Z122" s="261"/>
      <c r="AA122" s="261"/>
      <c r="AB122" s="261"/>
      <c r="AC122" s="261"/>
      <c r="AD122" s="261"/>
      <c r="AE122" s="261"/>
      <c r="AF122" s="261"/>
      <c r="AG122" s="261"/>
      <c r="AH122" s="261"/>
      <c r="AI122" s="261"/>
      <c r="AJ122" s="261"/>
      <c r="AK122" s="261"/>
      <c r="AL122" s="261"/>
    </row>
    <row r="123" spans="1:39" ht="12.95" customHeight="1">
      <c r="A123" s="53"/>
      <c r="B123" s="120"/>
      <c r="C123" s="259"/>
      <c r="D123" s="56"/>
      <c r="E123" s="53"/>
      <c r="F123" s="56"/>
      <c r="G123" s="56"/>
      <c r="H123" s="56"/>
      <c r="I123" s="53"/>
      <c r="J123" s="53"/>
      <c r="K123" s="259"/>
      <c r="L123" s="259"/>
      <c r="M123" s="259"/>
      <c r="N123" s="259"/>
      <c r="O123" s="259"/>
      <c r="P123" s="259"/>
      <c r="Q123" s="259"/>
      <c r="R123" s="259"/>
      <c r="S123" s="259"/>
      <c r="T123" s="259"/>
      <c r="U123" s="259"/>
      <c r="V123" s="259"/>
      <c r="W123" s="259"/>
      <c r="X123" s="259"/>
      <c r="Y123" s="261"/>
      <c r="Z123" s="262"/>
      <c r="AA123" s="261"/>
      <c r="AB123" s="261"/>
      <c r="AC123" s="261"/>
      <c r="AD123" s="262"/>
      <c r="AE123" s="261"/>
      <c r="AF123" s="261"/>
      <c r="AG123" s="261"/>
      <c r="AH123" s="261"/>
      <c r="AI123" s="261"/>
      <c r="AJ123" s="261"/>
      <c r="AK123" s="261"/>
      <c r="AL123" s="261"/>
    </row>
    <row r="124" spans="1:39" ht="12.95" customHeight="1">
      <c r="A124" s="53"/>
      <c r="B124" s="120"/>
      <c r="C124" s="259"/>
      <c r="D124" s="53"/>
      <c r="E124" s="53"/>
      <c r="F124" s="56"/>
      <c r="G124" s="120"/>
      <c r="H124" s="120"/>
      <c r="I124" s="53"/>
      <c r="J124" s="56"/>
      <c r="K124" s="259"/>
      <c r="L124" s="259"/>
      <c r="M124" s="259"/>
      <c r="N124" s="259"/>
      <c r="O124" s="259"/>
      <c r="P124" s="259"/>
      <c r="Q124" s="259"/>
      <c r="R124" s="259"/>
      <c r="S124" s="259"/>
      <c r="T124" s="259"/>
      <c r="U124" s="259"/>
      <c r="V124" s="259"/>
      <c r="W124" s="259"/>
      <c r="X124" s="259"/>
      <c r="Y124" s="261"/>
      <c r="Z124" s="261"/>
      <c r="AA124" s="261"/>
      <c r="AB124" s="261"/>
      <c r="AC124" s="261"/>
      <c r="AD124" s="261"/>
      <c r="AE124" s="261"/>
      <c r="AF124" s="261"/>
      <c r="AG124" s="261"/>
      <c r="AH124" s="261"/>
      <c r="AI124" s="261"/>
      <c r="AJ124" s="261"/>
      <c r="AK124" s="261"/>
      <c r="AL124" s="261"/>
    </row>
    <row r="125" spans="1:39" ht="12.95" customHeight="1">
      <c r="A125" s="53"/>
      <c r="B125" s="120"/>
      <c r="C125" s="259"/>
      <c r="D125" s="56"/>
      <c r="E125" s="53"/>
      <c r="F125" s="53"/>
      <c r="G125" s="53"/>
      <c r="H125" s="53"/>
      <c r="I125" s="53"/>
      <c r="J125" s="56"/>
      <c r="K125" s="259"/>
      <c r="L125" s="259"/>
      <c r="M125" s="259"/>
      <c r="N125" s="259"/>
      <c r="O125" s="259"/>
      <c r="P125" s="259"/>
      <c r="Q125" s="259"/>
      <c r="R125" s="259"/>
      <c r="S125" s="259"/>
      <c r="T125" s="259"/>
      <c r="U125" s="259"/>
      <c r="V125" s="259"/>
      <c r="W125" s="259"/>
      <c r="X125" s="259"/>
      <c r="Y125" s="261"/>
      <c r="Z125" s="261"/>
      <c r="AA125" s="261"/>
      <c r="AB125" s="261"/>
      <c r="AC125" s="261"/>
      <c r="AD125" s="261"/>
      <c r="AE125" s="261"/>
      <c r="AF125" s="261"/>
      <c r="AG125" s="261"/>
      <c r="AH125" s="261"/>
      <c r="AI125" s="261"/>
      <c r="AJ125" s="261"/>
      <c r="AK125" s="261"/>
      <c r="AL125" s="261"/>
    </row>
    <row r="126" spans="1:39" ht="12.95" customHeight="1">
      <c r="A126" s="53"/>
      <c r="B126" s="120"/>
      <c r="C126" s="259"/>
      <c r="D126" s="259"/>
      <c r="E126" s="53"/>
      <c r="F126" s="53"/>
      <c r="G126" s="56"/>
      <c r="H126" s="53"/>
      <c r="I126" s="53"/>
      <c r="J126" s="53"/>
      <c r="K126" s="259"/>
      <c r="L126" s="259"/>
      <c r="M126" s="259"/>
      <c r="N126" s="259"/>
      <c r="O126" s="259"/>
      <c r="P126" s="259"/>
      <c r="Q126" s="259"/>
      <c r="R126" s="259"/>
      <c r="S126" s="259"/>
      <c r="T126" s="259"/>
      <c r="U126" s="259"/>
      <c r="V126" s="259"/>
      <c r="W126" s="259"/>
      <c r="X126" s="259"/>
      <c r="Y126" s="261"/>
      <c r="Z126" s="261"/>
      <c r="AA126" s="261"/>
      <c r="AB126" s="261"/>
      <c r="AC126" s="261"/>
      <c r="AD126" s="261"/>
      <c r="AE126" s="261"/>
      <c r="AF126" s="261"/>
      <c r="AG126" s="261"/>
      <c r="AH126" s="261"/>
      <c r="AI126" s="261"/>
      <c r="AJ126" s="261"/>
      <c r="AK126" s="261"/>
      <c r="AL126" s="261"/>
    </row>
    <row r="127" spans="1:39" ht="12.95" customHeight="1">
      <c r="A127" s="53"/>
      <c r="B127" s="120"/>
      <c r="C127" s="259"/>
      <c r="D127" s="56"/>
      <c r="E127" s="53"/>
      <c r="F127" s="53"/>
      <c r="G127" s="53"/>
      <c r="H127" s="53"/>
      <c r="I127" s="53"/>
      <c r="J127" s="56"/>
      <c r="K127" s="259"/>
      <c r="L127" s="259"/>
      <c r="M127" s="259"/>
      <c r="N127" s="259"/>
      <c r="O127" s="259"/>
      <c r="P127" s="259"/>
      <c r="Q127" s="259"/>
      <c r="R127" s="259"/>
      <c r="S127" s="259"/>
      <c r="T127" s="259"/>
      <c r="U127" s="259"/>
      <c r="V127" s="259"/>
      <c r="W127" s="259"/>
      <c r="X127" s="259"/>
      <c r="Y127" s="261"/>
      <c r="Z127" s="261"/>
      <c r="AA127" s="261"/>
      <c r="AB127" s="261"/>
      <c r="AC127" s="261"/>
      <c r="AD127" s="261"/>
      <c r="AE127" s="261"/>
      <c r="AF127" s="261"/>
      <c r="AG127" s="261"/>
      <c r="AH127" s="261"/>
      <c r="AI127" s="261"/>
      <c r="AJ127" s="261"/>
      <c r="AK127" s="261"/>
      <c r="AL127" s="261"/>
    </row>
    <row r="128" spans="1:39" ht="12.95" customHeight="1">
      <c r="A128" s="53"/>
      <c r="B128" s="120"/>
      <c r="C128" s="259"/>
      <c r="D128" s="53"/>
      <c r="E128" s="53"/>
      <c r="F128" s="53"/>
      <c r="G128" s="53"/>
      <c r="H128" s="53"/>
      <c r="I128" s="53"/>
      <c r="J128" s="53"/>
      <c r="K128" s="259"/>
      <c r="L128" s="259"/>
      <c r="M128" s="259"/>
      <c r="N128" s="259"/>
      <c r="O128" s="259"/>
      <c r="P128" s="259"/>
      <c r="Q128" s="259"/>
      <c r="R128" s="259"/>
      <c r="S128" s="259"/>
      <c r="T128" s="259"/>
      <c r="U128" s="259"/>
      <c r="V128" s="259"/>
      <c r="W128" s="259"/>
      <c r="X128" s="259"/>
      <c r="Y128" s="261"/>
      <c r="Z128" s="261"/>
      <c r="AA128" s="261"/>
      <c r="AB128" s="261"/>
      <c r="AC128" s="261"/>
      <c r="AD128" s="261"/>
      <c r="AE128" s="261"/>
      <c r="AF128" s="261"/>
      <c r="AG128" s="261"/>
      <c r="AH128" s="261"/>
      <c r="AI128" s="261"/>
      <c r="AJ128" s="261"/>
      <c r="AK128" s="261"/>
      <c r="AL128" s="261"/>
    </row>
    <row r="129" spans="2:38" ht="12.95" customHeight="1">
      <c r="B129" s="119"/>
      <c r="C129" s="261"/>
      <c r="K129" s="261"/>
      <c r="L129" s="261"/>
      <c r="M129" s="261"/>
      <c r="N129" s="261"/>
      <c r="O129" s="261"/>
      <c r="P129" s="261"/>
      <c r="Q129" s="261"/>
      <c r="R129" s="261"/>
      <c r="S129" s="261"/>
      <c r="T129" s="261"/>
      <c r="U129" s="261"/>
      <c r="V129" s="261"/>
      <c r="W129" s="261"/>
      <c r="X129" s="261"/>
      <c r="Y129" s="261"/>
      <c r="Z129" s="261"/>
      <c r="AA129" s="261"/>
      <c r="AB129" s="261"/>
      <c r="AC129" s="261"/>
      <c r="AD129" s="261"/>
      <c r="AE129" s="261"/>
      <c r="AF129" s="261"/>
      <c r="AG129" s="261"/>
      <c r="AH129" s="261"/>
      <c r="AI129" s="261"/>
      <c r="AJ129" s="261"/>
      <c r="AK129" s="261"/>
      <c r="AL129" s="261"/>
    </row>
    <row r="130" spans="2:38" ht="12.95" customHeight="1">
      <c r="B130" s="119"/>
      <c r="C130" s="261"/>
      <c r="K130" s="261"/>
      <c r="L130" s="261"/>
      <c r="M130" s="261"/>
      <c r="N130" s="261"/>
      <c r="O130" s="261"/>
      <c r="P130" s="261"/>
      <c r="Q130" s="261"/>
      <c r="R130" s="261"/>
      <c r="S130" s="261"/>
      <c r="T130" s="261"/>
      <c r="U130" s="261"/>
      <c r="V130" s="261"/>
      <c r="W130" s="261"/>
      <c r="X130" s="261"/>
      <c r="Y130" s="261"/>
      <c r="Z130" s="261"/>
      <c r="AA130" s="261"/>
      <c r="AB130" s="261"/>
      <c r="AC130" s="261"/>
      <c r="AD130" s="261"/>
      <c r="AE130" s="261"/>
      <c r="AF130" s="261"/>
      <c r="AG130" s="261"/>
      <c r="AH130" s="261"/>
      <c r="AI130" s="261"/>
      <c r="AJ130" s="261"/>
      <c r="AK130" s="261"/>
      <c r="AL130" s="261"/>
    </row>
    <row r="131" spans="2:38" ht="12.95" customHeight="1">
      <c r="B131" s="119"/>
      <c r="C131" s="261"/>
      <c r="K131" s="261"/>
      <c r="L131" s="261"/>
      <c r="M131" s="261"/>
      <c r="N131" s="261"/>
      <c r="O131" s="261"/>
      <c r="P131" s="261"/>
      <c r="Q131" s="261"/>
      <c r="R131" s="261"/>
      <c r="S131" s="261"/>
      <c r="T131" s="261"/>
      <c r="U131" s="261"/>
      <c r="V131" s="261"/>
      <c r="W131" s="261"/>
      <c r="X131" s="261"/>
      <c r="Y131" s="261"/>
      <c r="Z131" s="261"/>
      <c r="AA131" s="261"/>
      <c r="AB131" s="261"/>
      <c r="AC131" s="261"/>
      <c r="AD131" s="261"/>
      <c r="AE131" s="261"/>
      <c r="AF131" s="261"/>
      <c r="AG131" s="261"/>
      <c r="AH131" s="261"/>
      <c r="AI131" s="261"/>
      <c r="AJ131" s="261"/>
      <c r="AK131" s="261"/>
      <c r="AL131" s="261"/>
    </row>
    <row r="132" spans="2:38" ht="12.95" customHeight="1">
      <c r="B132" s="119"/>
      <c r="C132" s="261"/>
      <c r="K132" s="261"/>
      <c r="L132" s="261"/>
      <c r="M132" s="261"/>
      <c r="N132" s="261"/>
      <c r="O132" s="261"/>
      <c r="P132" s="261"/>
      <c r="Q132" s="261"/>
      <c r="R132" s="261"/>
      <c r="S132" s="261"/>
      <c r="T132" s="261"/>
      <c r="U132" s="261"/>
      <c r="V132" s="261"/>
      <c r="W132" s="261"/>
      <c r="X132" s="261"/>
      <c r="Y132" s="261"/>
      <c r="Z132" s="261"/>
      <c r="AA132" s="261"/>
      <c r="AB132" s="261"/>
      <c r="AC132" s="261"/>
      <c r="AD132" s="261"/>
      <c r="AE132" s="261"/>
      <c r="AF132" s="261"/>
      <c r="AG132" s="261"/>
      <c r="AH132" s="261"/>
      <c r="AI132" s="261"/>
      <c r="AJ132" s="261"/>
      <c r="AK132" s="261"/>
      <c r="AL132" s="261"/>
    </row>
    <row r="133" spans="2:38" ht="12.95" customHeight="1">
      <c r="B133" s="119"/>
      <c r="C133" s="261"/>
      <c r="K133" s="261"/>
      <c r="L133" s="261"/>
      <c r="M133" s="261"/>
      <c r="N133" s="261"/>
      <c r="O133" s="261"/>
      <c r="P133" s="261"/>
      <c r="Q133" s="261"/>
      <c r="R133" s="261"/>
      <c r="S133" s="261"/>
      <c r="T133" s="261"/>
      <c r="U133" s="261"/>
      <c r="V133" s="261"/>
      <c r="W133" s="261"/>
      <c r="X133" s="261"/>
      <c r="Y133" s="261"/>
      <c r="Z133" s="261"/>
      <c r="AA133" s="261"/>
      <c r="AB133" s="261"/>
      <c r="AC133" s="261"/>
      <c r="AD133" s="261"/>
      <c r="AE133" s="261"/>
      <c r="AF133" s="261"/>
      <c r="AG133" s="261"/>
      <c r="AH133" s="261"/>
      <c r="AI133" s="261"/>
      <c r="AJ133" s="261"/>
      <c r="AK133" s="261"/>
      <c r="AL133" s="261"/>
    </row>
    <row r="134" spans="2:38" ht="12.95" customHeight="1">
      <c r="B134" s="119"/>
      <c r="C134" s="261"/>
      <c r="K134" s="261"/>
      <c r="L134" s="261"/>
      <c r="M134" s="261"/>
      <c r="N134" s="261"/>
      <c r="O134" s="261"/>
      <c r="P134" s="261"/>
      <c r="Q134" s="261"/>
      <c r="R134" s="261"/>
      <c r="S134" s="261"/>
      <c r="T134" s="261"/>
      <c r="U134" s="261"/>
      <c r="V134" s="261"/>
      <c r="W134" s="261"/>
      <c r="X134" s="261"/>
      <c r="Y134" s="261"/>
      <c r="Z134" s="261"/>
      <c r="AA134" s="261"/>
      <c r="AB134" s="261"/>
      <c r="AC134" s="261"/>
      <c r="AD134" s="261"/>
      <c r="AE134" s="261"/>
      <c r="AF134" s="261"/>
      <c r="AG134" s="261"/>
      <c r="AH134" s="261"/>
      <c r="AI134" s="261"/>
      <c r="AJ134" s="261"/>
      <c r="AK134" s="261"/>
      <c r="AL134" s="261"/>
    </row>
    <row r="135" spans="2:38" ht="12.95" customHeight="1">
      <c r="B135" s="119"/>
      <c r="C135" s="261"/>
      <c r="K135" s="261"/>
      <c r="L135" s="261"/>
      <c r="M135" s="261"/>
      <c r="N135" s="261"/>
      <c r="O135" s="261"/>
      <c r="P135" s="261"/>
      <c r="Q135" s="261"/>
      <c r="R135" s="261"/>
      <c r="S135" s="261"/>
      <c r="T135" s="261"/>
      <c r="U135" s="261"/>
      <c r="V135" s="261"/>
      <c r="W135" s="261"/>
      <c r="X135" s="261"/>
      <c r="Y135" s="261"/>
      <c r="Z135" s="261"/>
      <c r="AA135" s="261"/>
      <c r="AB135" s="261"/>
      <c r="AC135" s="261"/>
      <c r="AD135" s="261"/>
      <c r="AE135" s="261"/>
      <c r="AF135" s="261"/>
      <c r="AG135" s="261"/>
      <c r="AH135" s="261"/>
      <c r="AI135" s="261"/>
      <c r="AJ135" s="261"/>
      <c r="AK135" s="261"/>
      <c r="AL135" s="261"/>
    </row>
    <row r="136" spans="2:38" ht="12.95" customHeight="1">
      <c r="B136" s="119"/>
      <c r="C136" s="261"/>
      <c r="K136" s="261"/>
      <c r="L136" s="261"/>
      <c r="M136" s="261"/>
      <c r="N136" s="261"/>
      <c r="O136" s="261"/>
      <c r="P136" s="261"/>
      <c r="Q136" s="261"/>
      <c r="R136" s="261"/>
      <c r="S136" s="261"/>
      <c r="T136" s="261"/>
      <c r="U136" s="261"/>
      <c r="V136" s="261"/>
      <c r="W136" s="261"/>
      <c r="X136" s="261"/>
      <c r="Y136" s="261"/>
      <c r="Z136" s="261"/>
      <c r="AA136" s="261"/>
      <c r="AB136" s="261"/>
      <c r="AC136" s="261"/>
      <c r="AD136" s="261"/>
      <c r="AE136" s="261"/>
      <c r="AF136" s="261"/>
      <c r="AG136" s="261"/>
      <c r="AH136" s="261"/>
      <c r="AI136" s="261"/>
      <c r="AJ136" s="261"/>
      <c r="AK136" s="261"/>
      <c r="AL136" s="261"/>
    </row>
    <row r="137" spans="2:38" ht="12.95" customHeight="1">
      <c r="B137" s="119"/>
      <c r="C137" s="261"/>
      <c r="K137" s="261"/>
      <c r="L137" s="261"/>
      <c r="M137" s="261"/>
      <c r="N137" s="261"/>
      <c r="O137" s="261"/>
      <c r="P137" s="261"/>
      <c r="Q137" s="261"/>
      <c r="R137" s="261"/>
      <c r="S137" s="261"/>
      <c r="T137" s="261"/>
      <c r="U137" s="261"/>
      <c r="V137" s="261"/>
      <c r="W137" s="261"/>
      <c r="X137" s="261"/>
      <c r="Y137" s="261"/>
      <c r="Z137" s="261"/>
      <c r="AA137" s="261"/>
      <c r="AB137" s="261"/>
      <c r="AC137" s="261"/>
      <c r="AD137" s="261"/>
      <c r="AE137" s="261"/>
      <c r="AF137" s="261"/>
      <c r="AG137" s="261"/>
      <c r="AH137" s="261"/>
      <c r="AI137" s="261"/>
      <c r="AJ137" s="261"/>
      <c r="AK137" s="261"/>
      <c r="AL137" s="261"/>
    </row>
    <row r="138" spans="2:38" ht="12.95" customHeight="1">
      <c r="B138" s="119"/>
      <c r="C138" s="261"/>
      <c r="K138" s="261"/>
      <c r="L138" s="261"/>
      <c r="M138" s="261"/>
      <c r="N138" s="261"/>
      <c r="O138" s="261"/>
      <c r="P138" s="261"/>
      <c r="Q138" s="261"/>
      <c r="R138" s="261"/>
      <c r="S138" s="261"/>
      <c r="T138" s="261"/>
      <c r="U138" s="261"/>
      <c r="V138" s="261"/>
      <c r="W138" s="261"/>
      <c r="X138" s="261"/>
      <c r="Y138" s="261"/>
      <c r="Z138" s="261"/>
      <c r="AA138" s="261"/>
      <c r="AB138" s="261"/>
      <c r="AC138" s="261"/>
      <c r="AD138" s="261"/>
      <c r="AE138" s="261"/>
      <c r="AF138" s="261"/>
      <c r="AG138" s="261"/>
      <c r="AH138" s="261"/>
      <c r="AI138" s="261"/>
      <c r="AJ138" s="261"/>
      <c r="AK138" s="261"/>
      <c r="AL138" s="261"/>
    </row>
    <row r="139" spans="2:38" ht="12.95" customHeight="1">
      <c r="B139" s="119"/>
      <c r="C139" s="261"/>
      <c r="K139" s="261"/>
      <c r="L139" s="261"/>
      <c r="M139" s="261"/>
      <c r="N139" s="261"/>
      <c r="O139" s="261"/>
      <c r="P139" s="261"/>
      <c r="Q139" s="261"/>
      <c r="R139" s="261"/>
      <c r="S139" s="261"/>
      <c r="T139" s="261"/>
      <c r="U139" s="261"/>
      <c r="V139" s="261"/>
      <c r="W139" s="261"/>
      <c r="X139" s="261"/>
      <c r="Y139" s="261"/>
      <c r="Z139" s="261"/>
      <c r="AA139" s="261"/>
      <c r="AB139" s="261"/>
      <c r="AC139" s="261"/>
      <c r="AD139" s="261"/>
      <c r="AE139" s="261"/>
      <c r="AF139" s="261"/>
      <c r="AG139" s="261"/>
      <c r="AH139" s="261"/>
      <c r="AI139" s="261"/>
      <c r="AJ139" s="261"/>
      <c r="AK139" s="261"/>
      <c r="AL139" s="261"/>
    </row>
    <row r="140" spans="2:38" ht="12.95" customHeight="1">
      <c r="B140" s="119"/>
      <c r="C140" s="261"/>
      <c r="K140" s="261"/>
      <c r="L140" s="261"/>
      <c r="M140" s="261"/>
      <c r="N140" s="261"/>
      <c r="O140" s="261"/>
      <c r="P140" s="261"/>
      <c r="Q140" s="261"/>
      <c r="R140" s="261"/>
      <c r="S140" s="261"/>
      <c r="T140" s="261"/>
      <c r="U140" s="261"/>
      <c r="V140" s="261"/>
      <c r="W140" s="261"/>
      <c r="X140" s="261"/>
      <c r="Y140" s="261"/>
      <c r="Z140" s="261"/>
      <c r="AA140" s="261"/>
      <c r="AB140" s="261"/>
      <c r="AC140" s="261"/>
      <c r="AD140" s="261"/>
      <c r="AE140" s="261"/>
      <c r="AF140" s="261"/>
      <c r="AG140" s="261"/>
      <c r="AH140" s="261"/>
      <c r="AI140" s="261"/>
      <c r="AJ140" s="261"/>
      <c r="AK140" s="261"/>
      <c r="AL140" s="261"/>
    </row>
    <row r="141" spans="2:38" ht="12.95" customHeight="1">
      <c r="B141" s="119"/>
      <c r="C141" s="261"/>
      <c r="K141" s="261"/>
      <c r="L141" s="261"/>
      <c r="M141" s="261"/>
      <c r="N141" s="261"/>
      <c r="O141" s="261"/>
      <c r="P141" s="261"/>
      <c r="Q141" s="261"/>
      <c r="R141" s="261"/>
      <c r="S141" s="261"/>
      <c r="T141" s="261"/>
      <c r="U141" s="261"/>
      <c r="V141" s="261"/>
      <c r="W141" s="261"/>
      <c r="X141" s="261"/>
      <c r="Y141" s="261"/>
      <c r="Z141" s="261"/>
      <c r="AA141" s="261"/>
      <c r="AB141" s="261"/>
      <c r="AC141" s="261"/>
      <c r="AD141" s="261"/>
      <c r="AE141" s="261"/>
      <c r="AF141" s="261"/>
      <c r="AG141" s="261"/>
      <c r="AH141" s="261"/>
      <c r="AI141" s="261"/>
      <c r="AJ141" s="261"/>
      <c r="AK141" s="261"/>
      <c r="AL141" s="261"/>
    </row>
    <row r="142" spans="2:38" ht="12.95" customHeight="1">
      <c r="B142" s="119"/>
      <c r="C142" s="261"/>
      <c r="K142" s="261"/>
      <c r="L142" s="261"/>
      <c r="M142" s="261"/>
      <c r="N142" s="261"/>
      <c r="O142" s="261"/>
      <c r="P142" s="261"/>
      <c r="Q142" s="261"/>
      <c r="R142" s="261"/>
      <c r="S142" s="261"/>
      <c r="T142" s="261"/>
      <c r="U142" s="261"/>
      <c r="V142" s="261"/>
      <c r="W142" s="261"/>
      <c r="X142" s="261"/>
      <c r="Y142" s="261"/>
      <c r="Z142" s="261"/>
      <c r="AA142" s="261"/>
      <c r="AB142" s="261"/>
      <c r="AC142" s="261"/>
      <c r="AD142" s="261"/>
      <c r="AE142" s="261"/>
      <c r="AF142" s="261"/>
      <c r="AG142" s="261"/>
      <c r="AH142" s="261"/>
      <c r="AI142" s="261"/>
      <c r="AJ142" s="261"/>
      <c r="AK142" s="261"/>
      <c r="AL142" s="261"/>
    </row>
    <row r="143" spans="2:38" ht="12.95" customHeight="1">
      <c r="B143" s="119"/>
      <c r="C143" s="261"/>
      <c r="K143" s="261"/>
      <c r="L143" s="261"/>
      <c r="M143" s="261"/>
      <c r="N143" s="261"/>
      <c r="O143" s="261"/>
      <c r="P143" s="261"/>
      <c r="Q143" s="261"/>
      <c r="R143" s="261"/>
      <c r="S143" s="261"/>
      <c r="T143" s="261"/>
      <c r="U143" s="261"/>
      <c r="V143" s="261"/>
      <c r="W143" s="261"/>
      <c r="X143" s="261"/>
      <c r="Y143" s="261"/>
      <c r="Z143" s="261"/>
      <c r="AA143" s="261"/>
      <c r="AB143" s="261"/>
      <c r="AC143" s="261"/>
      <c r="AD143" s="261"/>
      <c r="AE143" s="261"/>
      <c r="AF143" s="261"/>
      <c r="AG143" s="261"/>
      <c r="AH143" s="261"/>
      <c r="AI143" s="261"/>
      <c r="AJ143" s="261"/>
      <c r="AK143" s="261"/>
      <c r="AL143" s="261"/>
    </row>
    <row r="144" spans="2:38" ht="12.95" customHeight="1">
      <c r="B144" s="119"/>
      <c r="C144" s="261"/>
      <c r="K144" s="261"/>
      <c r="L144" s="261"/>
      <c r="M144" s="261"/>
      <c r="N144" s="261"/>
      <c r="O144" s="261"/>
      <c r="P144" s="261"/>
      <c r="Q144" s="261"/>
      <c r="R144" s="261"/>
      <c r="S144" s="261"/>
      <c r="T144" s="261"/>
      <c r="U144" s="261"/>
      <c r="V144" s="261"/>
      <c r="W144" s="261"/>
      <c r="X144" s="261"/>
      <c r="Y144" s="261"/>
      <c r="Z144" s="261"/>
      <c r="AA144" s="261"/>
      <c r="AB144" s="261"/>
      <c r="AC144" s="261"/>
      <c r="AD144" s="261"/>
      <c r="AE144" s="261"/>
      <c r="AF144" s="261"/>
      <c r="AG144" s="261"/>
      <c r="AH144" s="261"/>
      <c r="AI144" s="261"/>
      <c r="AJ144" s="261"/>
      <c r="AK144" s="261"/>
      <c r="AL144" s="261"/>
    </row>
    <row r="145" spans="2:38" ht="12.95" customHeight="1">
      <c r="B145" s="119"/>
      <c r="C145" s="261"/>
      <c r="K145" s="261"/>
      <c r="L145" s="261"/>
      <c r="M145" s="261"/>
      <c r="N145" s="261"/>
      <c r="O145" s="261"/>
      <c r="P145" s="261"/>
      <c r="Q145" s="261"/>
      <c r="R145" s="261"/>
      <c r="S145" s="261"/>
      <c r="T145" s="261"/>
      <c r="U145" s="261"/>
      <c r="V145" s="261"/>
      <c r="W145" s="261"/>
      <c r="X145" s="261"/>
      <c r="Y145" s="261"/>
      <c r="Z145" s="261"/>
      <c r="AA145" s="261"/>
      <c r="AB145" s="261"/>
      <c r="AC145" s="261"/>
      <c r="AD145" s="261"/>
      <c r="AE145" s="261"/>
      <c r="AF145" s="261"/>
      <c r="AG145" s="261"/>
      <c r="AH145" s="261"/>
      <c r="AI145" s="261"/>
      <c r="AJ145" s="261"/>
      <c r="AK145" s="261"/>
      <c r="AL145" s="261"/>
    </row>
    <row r="146" spans="2:38" ht="12.95" customHeight="1">
      <c r="B146" s="119"/>
      <c r="C146" s="261"/>
      <c r="K146" s="261"/>
      <c r="L146" s="261"/>
      <c r="M146" s="261"/>
      <c r="N146" s="261"/>
      <c r="O146" s="261"/>
      <c r="P146" s="261"/>
      <c r="Q146" s="261"/>
      <c r="R146" s="261"/>
      <c r="S146" s="261"/>
      <c r="T146" s="261"/>
      <c r="U146" s="261"/>
      <c r="V146" s="261"/>
      <c r="W146" s="261"/>
      <c r="X146" s="261"/>
      <c r="Y146" s="261"/>
      <c r="Z146" s="261"/>
      <c r="AA146" s="261"/>
      <c r="AB146" s="261"/>
      <c r="AC146" s="261"/>
      <c r="AD146" s="261"/>
      <c r="AE146" s="261"/>
      <c r="AF146" s="261"/>
      <c r="AG146" s="261"/>
      <c r="AH146" s="261"/>
      <c r="AI146" s="261"/>
      <c r="AJ146" s="261"/>
      <c r="AK146" s="261"/>
      <c r="AL146" s="261"/>
    </row>
    <row r="147" spans="2:38" ht="12.95" customHeight="1">
      <c r="B147" s="119"/>
      <c r="C147" s="261"/>
      <c r="K147" s="261"/>
      <c r="L147" s="261"/>
      <c r="M147" s="261"/>
      <c r="N147" s="261"/>
      <c r="O147" s="261"/>
      <c r="P147" s="261"/>
      <c r="Q147" s="261"/>
      <c r="R147" s="261"/>
      <c r="S147" s="261"/>
      <c r="T147" s="261"/>
      <c r="U147" s="261"/>
      <c r="V147" s="261"/>
      <c r="W147" s="261"/>
      <c r="X147" s="261"/>
      <c r="Y147" s="261"/>
      <c r="Z147" s="261"/>
      <c r="AA147" s="261"/>
      <c r="AB147" s="261"/>
      <c r="AC147" s="261"/>
      <c r="AD147" s="261"/>
      <c r="AE147" s="261"/>
      <c r="AF147" s="261"/>
      <c r="AG147" s="261"/>
      <c r="AH147" s="261"/>
      <c r="AI147" s="261"/>
      <c r="AJ147" s="261"/>
      <c r="AK147" s="261"/>
      <c r="AL147" s="261"/>
    </row>
    <row r="148" spans="2:38" ht="12.95" customHeight="1">
      <c r="B148" s="119"/>
      <c r="C148" s="261"/>
      <c r="K148" s="261"/>
      <c r="L148" s="261"/>
      <c r="M148" s="261"/>
      <c r="N148" s="261"/>
      <c r="O148" s="261"/>
      <c r="P148" s="261"/>
      <c r="Q148" s="261"/>
      <c r="R148" s="261"/>
      <c r="S148" s="261"/>
      <c r="T148" s="261"/>
      <c r="U148" s="261"/>
      <c r="V148" s="261"/>
      <c r="W148" s="261"/>
      <c r="X148" s="261"/>
      <c r="Y148" s="261"/>
      <c r="Z148" s="261"/>
      <c r="AA148" s="261"/>
      <c r="AB148" s="261"/>
      <c r="AC148" s="261"/>
      <c r="AD148" s="261"/>
      <c r="AE148" s="261"/>
      <c r="AF148" s="261"/>
      <c r="AG148" s="261"/>
      <c r="AH148" s="261"/>
      <c r="AI148" s="261"/>
      <c r="AJ148" s="261"/>
      <c r="AK148" s="261"/>
      <c r="AL148" s="261"/>
    </row>
    <row r="149" spans="2:38" ht="12.95" customHeight="1">
      <c r="B149" s="119"/>
      <c r="C149" s="261"/>
      <c r="K149" s="261"/>
      <c r="L149" s="261"/>
      <c r="M149" s="261"/>
      <c r="N149" s="261"/>
      <c r="O149" s="261"/>
      <c r="P149" s="261"/>
      <c r="Q149" s="261"/>
      <c r="R149" s="261"/>
      <c r="S149" s="261"/>
      <c r="T149" s="261"/>
      <c r="U149" s="261"/>
      <c r="V149" s="261"/>
      <c r="W149" s="261"/>
      <c r="X149" s="261"/>
      <c r="Y149" s="261"/>
      <c r="Z149" s="261"/>
      <c r="AA149" s="261"/>
      <c r="AB149" s="261"/>
      <c r="AC149" s="261"/>
      <c r="AD149" s="261"/>
      <c r="AE149" s="261"/>
      <c r="AF149" s="261"/>
      <c r="AG149" s="261"/>
      <c r="AH149" s="261"/>
      <c r="AI149" s="261"/>
      <c r="AJ149" s="261"/>
      <c r="AK149" s="261"/>
      <c r="AL149" s="261"/>
    </row>
    <row r="150" spans="2:38" ht="12.95" customHeight="1">
      <c r="B150" s="119"/>
      <c r="C150" s="261"/>
      <c r="K150" s="261"/>
      <c r="L150" s="261"/>
      <c r="M150" s="261"/>
      <c r="N150" s="261"/>
      <c r="O150" s="261"/>
      <c r="P150" s="261"/>
      <c r="Q150" s="261"/>
      <c r="R150" s="261"/>
      <c r="S150" s="261"/>
      <c r="T150" s="261"/>
      <c r="U150" s="261"/>
      <c r="V150" s="261"/>
      <c r="W150" s="261"/>
      <c r="X150" s="261"/>
      <c r="Y150" s="261"/>
      <c r="Z150" s="261"/>
      <c r="AA150" s="261"/>
      <c r="AB150" s="261"/>
      <c r="AC150" s="261"/>
      <c r="AD150" s="261"/>
      <c r="AE150" s="261"/>
      <c r="AF150" s="261"/>
      <c r="AG150" s="261"/>
      <c r="AH150" s="261"/>
      <c r="AI150" s="261"/>
      <c r="AJ150" s="261"/>
      <c r="AK150" s="261"/>
      <c r="AL150" s="261"/>
    </row>
    <row r="151" spans="2:38" ht="12.95" customHeight="1">
      <c r="B151" s="119"/>
      <c r="C151" s="261"/>
      <c r="K151" s="261"/>
      <c r="L151" s="261"/>
      <c r="M151" s="261"/>
      <c r="N151" s="261"/>
      <c r="O151" s="261"/>
      <c r="P151" s="261"/>
      <c r="Q151" s="261"/>
      <c r="R151" s="261"/>
      <c r="S151" s="261"/>
      <c r="T151" s="261"/>
      <c r="U151" s="261"/>
      <c r="V151" s="261"/>
      <c r="W151" s="261"/>
      <c r="X151" s="261"/>
      <c r="Y151" s="261"/>
      <c r="Z151" s="261"/>
      <c r="AA151" s="261"/>
      <c r="AB151" s="261"/>
      <c r="AC151" s="261"/>
      <c r="AD151" s="261"/>
      <c r="AE151" s="261"/>
      <c r="AF151" s="261"/>
      <c r="AG151" s="261"/>
      <c r="AH151" s="261"/>
      <c r="AI151" s="261"/>
      <c r="AJ151" s="261"/>
      <c r="AK151" s="261"/>
      <c r="AL151" s="261"/>
    </row>
    <row r="152" spans="2:38" ht="12.95" customHeight="1">
      <c r="B152" s="119"/>
      <c r="C152" s="261"/>
      <c r="K152" s="261"/>
      <c r="L152" s="261"/>
      <c r="M152" s="261"/>
      <c r="N152" s="261"/>
      <c r="O152" s="261"/>
      <c r="P152" s="261"/>
      <c r="Q152" s="261"/>
      <c r="R152" s="261"/>
      <c r="S152" s="261"/>
      <c r="T152" s="261"/>
      <c r="U152" s="261"/>
      <c r="V152" s="261"/>
      <c r="W152" s="261"/>
      <c r="X152" s="261"/>
      <c r="Y152" s="261"/>
      <c r="Z152" s="261"/>
      <c r="AA152" s="261"/>
      <c r="AB152" s="261"/>
      <c r="AC152" s="261"/>
      <c r="AD152" s="261"/>
      <c r="AE152" s="261"/>
      <c r="AF152" s="261"/>
      <c r="AG152" s="261"/>
      <c r="AH152" s="261"/>
      <c r="AI152" s="261"/>
      <c r="AJ152" s="261"/>
      <c r="AK152" s="261"/>
      <c r="AL152" s="261"/>
    </row>
    <row r="153" spans="2:38" ht="12.95" customHeight="1">
      <c r="B153" s="119"/>
      <c r="C153" s="261"/>
      <c r="K153" s="261"/>
      <c r="L153" s="261"/>
      <c r="M153" s="261"/>
      <c r="N153" s="261"/>
      <c r="O153" s="261"/>
      <c r="P153" s="261"/>
      <c r="Q153" s="261"/>
      <c r="R153" s="261"/>
      <c r="S153" s="261"/>
      <c r="T153" s="261"/>
      <c r="U153" s="261"/>
      <c r="V153" s="261"/>
      <c r="W153" s="261"/>
      <c r="X153" s="261"/>
      <c r="Y153" s="261"/>
      <c r="Z153" s="261"/>
      <c r="AA153" s="261"/>
      <c r="AB153" s="261"/>
      <c r="AC153" s="261"/>
      <c r="AD153" s="261"/>
      <c r="AE153" s="261"/>
      <c r="AF153" s="261"/>
      <c r="AG153" s="261"/>
      <c r="AH153" s="261"/>
      <c r="AI153" s="261"/>
      <c r="AJ153" s="261"/>
      <c r="AK153" s="261"/>
      <c r="AL153" s="261"/>
    </row>
    <row r="154" spans="2:38" ht="12.95" customHeight="1">
      <c r="B154" s="119"/>
      <c r="C154" s="261"/>
      <c r="K154" s="261"/>
      <c r="L154" s="261"/>
      <c r="M154" s="261"/>
      <c r="N154" s="261"/>
      <c r="O154" s="261"/>
      <c r="P154" s="261"/>
      <c r="Q154" s="261"/>
      <c r="R154" s="261"/>
      <c r="S154" s="261"/>
      <c r="T154" s="261"/>
      <c r="U154" s="261"/>
      <c r="V154" s="261"/>
      <c r="W154" s="261"/>
      <c r="X154" s="261"/>
      <c r="Y154" s="261"/>
      <c r="Z154" s="261"/>
      <c r="AA154" s="261"/>
      <c r="AB154" s="261"/>
      <c r="AC154" s="261"/>
      <c r="AD154" s="261"/>
      <c r="AE154" s="261"/>
      <c r="AF154" s="261"/>
      <c r="AG154" s="261"/>
      <c r="AH154" s="261"/>
      <c r="AI154" s="261"/>
      <c r="AJ154" s="261"/>
      <c r="AK154" s="261"/>
      <c r="AL154" s="261"/>
    </row>
    <row r="155" spans="2:38" ht="12.95" customHeight="1">
      <c r="B155" s="119"/>
      <c r="C155" s="261"/>
      <c r="K155" s="261"/>
      <c r="L155" s="261"/>
      <c r="M155" s="261"/>
      <c r="N155" s="261"/>
      <c r="O155" s="261"/>
      <c r="P155" s="261"/>
      <c r="Q155" s="261"/>
      <c r="R155" s="261"/>
      <c r="S155" s="261"/>
      <c r="T155" s="261"/>
      <c r="U155" s="261"/>
      <c r="V155" s="261"/>
      <c r="W155" s="261"/>
      <c r="X155" s="261"/>
      <c r="Y155" s="261"/>
      <c r="Z155" s="261"/>
      <c r="AA155" s="261"/>
      <c r="AB155" s="261"/>
      <c r="AC155" s="261"/>
      <c r="AD155" s="261"/>
      <c r="AE155" s="261"/>
      <c r="AF155" s="261"/>
      <c r="AG155" s="261"/>
      <c r="AH155" s="261"/>
      <c r="AI155" s="261"/>
      <c r="AJ155" s="261"/>
      <c r="AK155" s="261"/>
      <c r="AL155" s="261"/>
    </row>
    <row r="156" spans="2:38" ht="12.95" customHeight="1">
      <c r="K156" s="121"/>
    </row>
    <row r="157" spans="2:38" ht="12.95" customHeight="1">
      <c r="K157" s="51"/>
    </row>
  </sheetData>
  <mergeCells count="39">
    <mergeCell ref="L6:L8"/>
    <mergeCell ref="M6:N7"/>
    <mergeCell ref="O6:R6"/>
    <mergeCell ref="O7:O8"/>
    <mergeCell ref="P7:P8"/>
    <mergeCell ref="C6:C8"/>
    <mergeCell ref="D6:D8"/>
    <mergeCell ref="E6:F7"/>
    <mergeCell ref="G6:J6"/>
    <mergeCell ref="K6:K8"/>
    <mergeCell ref="G7:G8"/>
    <mergeCell ref="H7:H8"/>
    <mergeCell ref="I7:J7"/>
    <mergeCell ref="AJ7:AJ8"/>
    <mergeCell ref="Q7:R7"/>
    <mergeCell ref="W6:W8"/>
    <mergeCell ref="X6:X8"/>
    <mergeCell ref="Y6:Z7"/>
    <mergeCell ref="AA6:AD6"/>
    <mergeCell ref="S7:S8"/>
    <mergeCell ref="T7:T8"/>
    <mergeCell ref="U7:V7"/>
    <mergeCell ref="AA7:AA8"/>
    <mergeCell ref="AJ1:AL1"/>
    <mergeCell ref="AK7:AL7"/>
    <mergeCell ref="AE6:AE8"/>
    <mergeCell ref="AF6:AF8"/>
    <mergeCell ref="AG6:AH7"/>
    <mergeCell ref="AI6:AL6"/>
    <mergeCell ref="A2:AL2"/>
    <mergeCell ref="AK3:AL3"/>
    <mergeCell ref="C4:J5"/>
    <mergeCell ref="K4:R5"/>
    <mergeCell ref="S4:V4"/>
    <mergeCell ref="W4:AD5"/>
    <mergeCell ref="AE4:AL5"/>
    <mergeCell ref="AB7:AB8"/>
    <mergeCell ref="AC7:AD7"/>
    <mergeCell ref="AI7:AI8"/>
  </mergeCells>
  <pageMargins left="0.31496062992125984" right="0" top="0.55118110236220474" bottom="0.35433070866141736" header="0.31496062992125984" footer="0.31496062992125984"/>
  <pageSetup paperSize="8" scale="85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51"/>
  <sheetViews>
    <sheetView workbookViewId="0">
      <selection activeCell="P25" sqref="P25"/>
    </sheetView>
  </sheetViews>
  <sheetFormatPr defaultRowHeight="11.25"/>
  <cols>
    <col min="1" max="1" width="3.85546875" style="30" customWidth="1"/>
    <col min="2" max="2" width="57.5703125" style="31" customWidth="1"/>
    <col min="3" max="3" width="12.28515625" style="32" customWidth="1"/>
    <col min="4" max="4" width="8.140625" style="30" hidden="1" customWidth="1"/>
    <col min="5" max="5" width="9.5703125" style="30" customWidth="1"/>
    <col min="6" max="6" width="7.42578125" style="30" hidden="1" customWidth="1"/>
    <col min="7" max="7" width="8.85546875" style="30" customWidth="1"/>
    <col min="8" max="8" width="0" style="30" hidden="1" customWidth="1"/>
    <col min="9" max="10" width="9.140625" style="30"/>
    <col min="11" max="11" width="8.5703125" style="30" customWidth="1"/>
    <col min="12" max="256" width="9.140625" style="30"/>
    <col min="257" max="257" width="3.85546875" style="30" customWidth="1"/>
    <col min="258" max="258" width="57.5703125" style="30" customWidth="1"/>
    <col min="259" max="259" width="12.28515625" style="30" customWidth="1"/>
    <col min="260" max="260" width="0" style="30" hidden="1" customWidth="1"/>
    <col min="261" max="261" width="9.5703125" style="30" customWidth="1"/>
    <col min="262" max="262" width="0" style="30" hidden="1" customWidth="1"/>
    <col min="263" max="263" width="8.85546875" style="30" customWidth="1"/>
    <col min="264" max="264" width="0" style="30" hidden="1" customWidth="1"/>
    <col min="265" max="266" width="9.140625" style="30"/>
    <col min="267" max="267" width="8.5703125" style="30" customWidth="1"/>
    <col min="268" max="512" width="9.140625" style="30"/>
    <col min="513" max="513" width="3.85546875" style="30" customWidth="1"/>
    <col min="514" max="514" width="57.5703125" style="30" customWidth="1"/>
    <col min="515" max="515" width="12.28515625" style="30" customWidth="1"/>
    <col min="516" max="516" width="0" style="30" hidden="1" customWidth="1"/>
    <col min="517" max="517" width="9.5703125" style="30" customWidth="1"/>
    <col min="518" max="518" width="0" style="30" hidden="1" customWidth="1"/>
    <col min="519" max="519" width="8.85546875" style="30" customWidth="1"/>
    <col min="520" max="520" width="0" style="30" hidden="1" customWidth="1"/>
    <col min="521" max="522" width="9.140625" style="30"/>
    <col min="523" max="523" width="8.5703125" style="30" customWidth="1"/>
    <col min="524" max="768" width="9.140625" style="30"/>
    <col min="769" max="769" width="3.85546875" style="30" customWidth="1"/>
    <col min="770" max="770" width="57.5703125" style="30" customWidth="1"/>
    <col min="771" max="771" width="12.28515625" style="30" customWidth="1"/>
    <col min="772" max="772" width="0" style="30" hidden="1" customWidth="1"/>
    <col min="773" max="773" width="9.5703125" style="30" customWidth="1"/>
    <col min="774" max="774" width="0" style="30" hidden="1" customWidth="1"/>
    <col min="775" max="775" width="8.85546875" style="30" customWidth="1"/>
    <col min="776" max="776" width="0" style="30" hidden="1" customWidth="1"/>
    <col min="777" max="778" width="9.140625" style="30"/>
    <col min="779" max="779" width="8.5703125" style="30" customWidth="1"/>
    <col min="780" max="1024" width="9.140625" style="30"/>
    <col min="1025" max="1025" width="3.85546875" style="30" customWidth="1"/>
    <col min="1026" max="1026" width="57.5703125" style="30" customWidth="1"/>
    <col min="1027" max="1027" width="12.28515625" style="30" customWidth="1"/>
    <col min="1028" max="1028" width="0" style="30" hidden="1" customWidth="1"/>
    <col min="1029" max="1029" width="9.5703125" style="30" customWidth="1"/>
    <col min="1030" max="1030" width="0" style="30" hidden="1" customWidth="1"/>
    <col min="1031" max="1031" width="8.85546875" style="30" customWidth="1"/>
    <col min="1032" max="1032" width="0" style="30" hidden="1" customWidth="1"/>
    <col min="1033" max="1034" width="9.140625" style="30"/>
    <col min="1035" max="1035" width="8.5703125" style="30" customWidth="1"/>
    <col min="1036" max="1280" width="9.140625" style="30"/>
    <col min="1281" max="1281" width="3.85546875" style="30" customWidth="1"/>
    <col min="1282" max="1282" width="57.5703125" style="30" customWidth="1"/>
    <col min="1283" max="1283" width="12.28515625" style="30" customWidth="1"/>
    <col min="1284" max="1284" width="0" style="30" hidden="1" customWidth="1"/>
    <col min="1285" max="1285" width="9.5703125" style="30" customWidth="1"/>
    <col min="1286" max="1286" width="0" style="30" hidden="1" customWidth="1"/>
    <col min="1287" max="1287" width="8.85546875" style="30" customWidth="1"/>
    <col min="1288" max="1288" width="0" style="30" hidden="1" customWidth="1"/>
    <col min="1289" max="1290" width="9.140625" style="30"/>
    <col min="1291" max="1291" width="8.5703125" style="30" customWidth="1"/>
    <col min="1292" max="1536" width="9.140625" style="30"/>
    <col min="1537" max="1537" width="3.85546875" style="30" customWidth="1"/>
    <col min="1538" max="1538" width="57.5703125" style="30" customWidth="1"/>
    <col min="1539" max="1539" width="12.28515625" style="30" customWidth="1"/>
    <col min="1540" max="1540" width="0" style="30" hidden="1" customWidth="1"/>
    <col min="1541" max="1541" width="9.5703125" style="30" customWidth="1"/>
    <col min="1542" max="1542" width="0" style="30" hidden="1" customWidth="1"/>
    <col min="1543" max="1543" width="8.85546875" style="30" customWidth="1"/>
    <col min="1544" max="1544" width="0" style="30" hidden="1" customWidth="1"/>
    <col min="1545" max="1546" width="9.140625" style="30"/>
    <col min="1547" max="1547" width="8.5703125" style="30" customWidth="1"/>
    <col min="1548" max="1792" width="9.140625" style="30"/>
    <col min="1793" max="1793" width="3.85546875" style="30" customWidth="1"/>
    <col min="1794" max="1794" width="57.5703125" style="30" customWidth="1"/>
    <col min="1795" max="1795" width="12.28515625" style="30" customWidth="1"/>
    <col min="1796" max="1796" width="0" style="30" hidden="1" customWidth="1"/>
    <col min="1797" max="1797" width="9.5703125" style="30" customWidth="1"/>
    <col min="1798" max="1798" width="0" style="30" hidden="1" customWidth="1"/>
    <col min="1799" max="1799" width="8.85546875" style="30" customWidth="1"/>
    <col min="1800" max="1800" width="0" style="30" hidden="1" customWidth="1"/>
    <col min="1801" max="1802" width="9.140625" style="30"/>
    <col min="1803" max="1803" width="8.5703125" style="30" customWidth="1"/>
    <col min="1804" max="2048" width="9.140625" style="30"/>
    <col min="2049" max="2049" width="3.85546875" style="30" customWidth="1"/>
    <col min="2050" max="2050" width="57.5703125" style="30" customWidth="1"/>
    <col min="2051" max="2051" width="12.28515625" style="30" customWidth="1"/>
    <col min="2052" max="2052" width="0" style="30" hidden="1" customWidth="1"/>
    <col min="2053" max="2053" width="9.5703125" style="30" customWidth="1"/>
    <col min="2054" max="2054" width="0" style="30" hidden="1" customWidth="1"/>
    <col min="2055" max="2055" width="8.85546875" style="30" customWidth="1"/>
    <col min="2056" max="2056" width="0" style="30" hidden="1" customWidth="1"/>
    <col min="2057" max="2058" width="9.140625" style="30"/>
    <col min="2059" max="2059" width="8.5703125" style="30" customWidth="1"/>
    <col min="2060" max="2304" width="9.140625" style="30"/>
    <col min="2305" max="2305" width="3.85546875" style="30" customWidth="1"/>
    <col min="2306" max="2306" width="57.5703125" style="30" customWidth="1"/>
    <col min="2307" max="2307" width="12.28515625" style="30" customWidth="1"/>
    <col min="2308" max="2308" width="0" style="30" hidden="1" customWidth="1"/>
    <col min="2309" max="2309" width="9.5703125" style="30" customWidth="1"/>
    <col min="2310" max="2310" width="0" style="30" hidden="1" customWidth="1"/>
    <col min="2311" max="2311" width="8.85546875" style="30" customWidth="1"/>
    <col min="2312" max="2312" width="0" style="30" hidden="1" customWidth="1"/>
    <col min="2313" max="2314" width="9.140625" style="30"/>
    <col min="2315" max="2315" width="8.5703125" style="30" customWidth="1"/>
    <col min="2316" max="2560" width="9.140625" style="30"/>
    <col min="2561" max="2561" width="3.85546875" style="30" customWidth="1"/>
    <col min="2562" max="2562" width="57.5703125" style="30" customWidth="1"/>
    <col min="2563" max="2563" width="12.28515625" style="30" customWidth="1"/>
    <col min="2564" max="2564" width="0" style="30" hidden="1" customWidth="1"/>
    <col min="2565" max="2565" width="9.5703125" style="30" customWidth="1"/>
    <col min="2566" max="2566" width="0" style="30" hidden="1" customWidth="1"/>
    <col min="2567" max="2567" width="8.85546875" style="30" customWidth="1"/>
    <col min="2568" max="2568" width="0" style="30" hidden="1" customWidth="1"/>
    <col min="2569" max="2570" width="9.140625" style="30"/>
    <col min="2571" max="2571" width="8.5703125" style="30" customWidth="1"/>
    <col min="2572" max="2816" width="9.140625" style="30"/>
    <col min="2817" max="2817" width="3.85546875" style="30" customWidth="1"/>
    <col min="2818" max="2818" width="57.5703125" style="30" customWidth="1"/>
    <col min="2819" max="2819" width="12.28515625" style="30" customWidth="1"/>
    <col min="2820" max="2820" width="0" style="30" hidden="1" customWidth="1"/>
    <col min="2821" max="2821" width="9.5703125" style="30" customWidth="1"/>
    <col min="2822" max="2822" width="0" style="30" hidden="1" customWidth="1"/>
    <col min="2823" max="2823" width="8.85546875" style="30" customWidth="1"/>
    <col min="2824" max="2824" width="0" style="30" hidden="1" customWidth="1"/>
    <col min="2825" max="2826" width="9.140625" style="30"/>
    <col min="2827" max="2827" width="8.5703125" style="30" customWidth="1"/>
    <col min="2828" max="3072" width="9.140625" style="30"/>
    <col min="3073" max="3073" width="3.85546875" style="30" customWidth="1"/>
    <col min="3074" max="3074" width="57.5703125" style="30" customWidth="1"/>
    <col min="3075" max="3075" width="12.28515625" style="30" customWidth="1"/>
    <col min="3076" max="3076" width="0" style="30" hidden="1" customWidth="1"/>
    <col min="3077" max="3077" width="9.5703125" style="30" customWidth="1"/>
    <col min="3078" max="3078" width="0" style="30" hidden="1" customWidth="1"/>
    <col min="3079" max="3079" width="8.85546875" style="30" customWidth="1"/>
    <col min="3080" max="3080" width="0" style="30" hidden="1" customWidth="1"/>
    <col min="3081" max="3082" width="9.140625" style="30"/>
    <col min="3083" max="3083" width="8.5703125" style="30" customWidth="1"/>
    <col min="3084" max="3328" width="9.140625" style="30"/>
    <col min="3329" max="3329" width="3.85546875" style="30" customWidth="1"/>
    <col min="3330" max="3330" width="57.5703125" style="30" customWidth="1"/>
    <col min="3331" max="3331" width="12.28515625" style="30" customWidth="1"/>
    <col min="3332" max="3332" width="0" style="30" hidden="1" customWidth="1"/>
    <col min="3333" max="3333" width="9.5703125" style="30" customWidth="1"/>
    <col min="3334" max="3334" width="0" style="30" hidden="1" customWidth="1"/>
    <col min="3335" max="3335" width="8.85546875" style="30" customWidth="1"/>
    <col min="3336" max="3336" width="0" style="30" hidden="1" customWidth="1"/>
    <col min="3337" max="3338" width="9.140625" style="30"/>
    <col min="3339" max="3339" width="8.5703125" style="30" customWidth="1"/>
    <col min="3340" max="3584" width="9.140625" style="30"/>
    <col min="3585" max="3585" width="3.85546875" style="30" customWidth="1"/>
    <col min="3586" max="3586" width="57.5703125" style="30" customWidth="1"/>
    <col min="3587" max="3587" width="12.28515625" style="30" customWidth="1"/>
    <col min="3588" max="3588" width="0" style="30" hidden="1" customWidth="1"/>
    <col min="3589" max="3589" width="9.5703125" style="30" customWidth="1"/>
    <col min="3590" max="3590" width="0" style="30" hidden="1" customWidth="1"/>
    <col min="3591" max="3591" width="8.85546875" style="30" customWidth="1"/>
    <col min="3592" max="3592" width="0" style="30" hidden="1" customWidth="1"/>
    <col min="3593" max="3594" width="9.140625" style="30"/>
    <col min="3595" max="3595" width="8.5703125" style="30" customWidth="1"/>
    <col min="3596" max="3840" width="9.140625" style="30"/>
    <col min="3841" max="3841" width="3.85546875" style="30" customWidth="1"/>
    <col min="3842" max="3842" width="57.5703125" style="30" customWidth="1"/>
    <col min="3843" max="3843" width="12.28515625" style="30" customWidth="1"/>
    <col min="3844" max="3844" width="0" style="30" hidden="1" customWidth="1"/>
    <col min="3845" max="3845" width="9.5703125" style="30" customWidth="1"/>
    <col min="3846" max="3846" width="0" style="30" hidden="1" customWidth="1"/>
    <col min="3847" max="3847" width="8.85546875" style="30" customWidth="1"/>
    <col min="3848" max="3848" width="0" style="30" hidden="1" customWidth="1"/>
    <col min="3849" max="3850" width="9.140625" style="30"/>
    <col min="3851" max="3851" width="8.5703125" style="30" customWidth="1"/>
    <col min="3852" max="4096" width="9.140625" style="30"/>
    <col min="4097" max="4097" width="3.85546875" style="30" customWidth="1"/>
    <col min="4098" max="4098" width="57.5703125" style="30" customWidth="1"/>
    <col min="4099" max="4099" width="12.28515625" style="30" customWidth="1"/>
    <col min="4100" max="4100" width="0" style="30" hidden="1" customWidth="1"/>
    <col min="4101" max="4101" width="9.5703125" style="30" customWidth="1"/>
    <col min="4102" max="4102" width="0" style="30" hidden="1" customWidth="1"/>
    <col min="4103" max="4103" width="8.85546875" style="30" customWidth="1"/>
    <col min="4104" max="4104" width="0" style="30" hidden="1" customWidth="1"/>
    <col min="4105" max="4106" width="9.140625" style="30"/>
    <col min="4107" max="4107" width="8.5703125" style="30" customWidth="1"/>
    <col min="4108" max="4352" width="9.140625" style="30"/>
    <col min="4353" max="4353" width="3.85546875" style="30" customWidth="1"/>
    <col min="4354" max="4354" width="57.5703125" style="30" customWidth="1"/>
    <col min="4355" max="4355" width="12.28515625" style="30" customWidth="1"/>
    <col min="4356" max="4356" width="0" style="30" hidden="1" customWidth="1"/>
    <col min="4357" max="4357" width="9.5703125" style="30" customWidth="1"/>
    <col min="4358" max="4358" width="0" style="30" hidden="1" customWidth="1"/>
    <col min="4359" max="4359" width="8.85546875" style="30" customWidth="1"/>
    <col min="4360" max="4360" width="0" style="30" hidden="1" customWidth="1"/>
    <col min="4361" max="4362" width="9.140625" style="30"/>
    <col min="4363" max="4363" width="8.5703125" style="30" customWidth="1"/>
    <col min="4364" max="4608" width="9.140625" style="30"/>
    <col min="4609" max="4609" width="3.85546875" style="30" customWidth="1"/>
    <col min="4610" max="4610" width="57.5703125" style="30" customWidth="1"/>
    <col min="4611" max="4611" width="12.28515625" style="30" customWidth="1"/>
    <col min="4612" max="4612" width="0" style="30" hidden="1" customWidth="1"/>
    <col min="4613" max="4613" width="9.5703125" style="30" customWidth="1"/>
    <col min="4614" max="4614" width="0" style="30" hidden="1" customWidth="1"/>
    <col min="4615" max="4615" width="8.85546875" style="30" customWidth="1"/>
    <col min="4616" max="4616" width="0" style="30" hidden="1" customWidth="1"/>
    <col min="4617" max="4618" width="9.140625" style="30"/>
    <col min="4619" max="4619" width="8.5703125" style="30" customWidth="1"/>
    <col min="4620" max="4864" width="9.140625" style="30"/>
    <col min="4865" max="4865" width="3.85546875" style="30" customWidth="1"/>
    <col min="4866" max="4866" width="57.5703125" style="30" customWidth="1"/>
    <col min="4867" max="4867" width="12.28515625" style="30" customWidth="1"/>
    <col min="4868" max="4868" width="0" style="30" hidden="1" customWidth="1"/>
    <col min="4869" max="4869" width="9.5703125" style="30" customWidth="1"/>
    <col min="4870" max="4870" width="0" style="30" hidden="1" customWidth="1"/>
    <col min="4871" max="4871" width="8.85546875" style="30" customWidth="1"/>
    <col min="4872" max="4872" width="0" style="30" hidden="1" customWidth="1"/>
    <col min="4873" max="4874" width="9.140625" style="30"/>
    <col min="4875" max="4875" width="8.5703125" style="30" customWidth="1"/>
    <col min="4876" max="5120" width="9.140625" style="30"/>
    <col min="5121" max="5121" width="3.85546875" style="30" customWidth="1"/>
    <col min="5122" max="5122" width="57.5703125" style="30" customWidth="1"/>
    <col min="5123" max="5123" width="12.28515625" style="30" customWidth="1"/>
    <col min="5124" max="5124" width="0" style="30" hidden="1" customWidth="1"/>
    <col min="5125" max="5125" width="9.5703125" style="30" customWidth="1"/>
    <col min="5126" max="5126" width="0" style="30" hidden="1" customWidth="1"/>
    <col min="5127" max="5127" width="8.85546875" style="30" customWidth="1"/>
    <col min="5128" max="5128" width="0" style="30" hidden="1" customWidth="1"/>
    <col min="5129" max="5130" width="9.140625" style="30"/>
    <col min="5131" max="5131" width="8.5703125" style="30" customWidth="1"/>
    <col min="5132" max="5376" width="9.140625" style="30"/>
    <col min="5377" max="5377" width="3.85546875" style="30" customWidth="1"/>
    <col min="5378" max="5378" width="57.5703125" style="30" customWidth="1"/>
    <col min="5379" max="5379" width="12.28515625" style="30" customWidth="1"/>
    <col min="5380" max="5380" width="0" style="30" hidden="1" customWidth="1"/>
    <col min="5381" max="5381" width="9.5703125" style="30" customWidth="1"/>
    <col min="5382" max="5382" width="0" style="30" hidden="1" customWidth="1"/>
    <col min="5383" max="5383" width="8.85546875" style="30" customWidth="1"/>
    <col min="5384" max="5384" width="0" style="30" hidden="1" customWidth="1"/>
    <col min="5385" max="5386" width="9.140625" style="30"/>
    <col min="5387" max="5387" width="8.5703125" style="30" customWidth="1"/>
    <col min="5388" max="5632" width="9.140625" style="30"/>
    <col min="5633" max="5633" width="3.85546875" style="30" customWidth="1"/>
    <col min="5634" max="5634" width="57.5703125" style="30" customWidth="1"/>
    <col min="5635" max="5635" width="12.28515625" style="30" customWidth="1"/>
    <col min="5636" max="5636" width="0" style="30" hidden="1" customWidth="1"/>
    <col min="5637" max="5637" width="9.5703125" style="30" customWidth="1"/>
    <col min="5638" max="5638" width="0" style="30" hidden="1" customWidth="1"/>
    <col min="5639" max="5639" width="8.85546875" style="30" customWidth="1"/>
    <col min="5640" max="5640" width="0" style="30" hidden="1" customWidth="1"/>
    <col min="5641" max="5642" width="9.140625" style="30"/>
    <col min="5643" max="5643" width="8.5703125" style="30" customWidth="1"/>
    <col min="5644" max="5888" width="9.140625" style="30"/>
    <col min="5889" max="5889" width="3.85546875" style="30" customWidth="1"/>
    <col min="5890" max="5890" width="57.5703125" style="30" customWidth="1"/>
    <col min="5891" max="5891" width="12.28515625" style="30" customWidth="1"/>
    <col min="5892" max="5892" width="0" style="30" hidden="1" customWidth="1"/>
    <col min="5893" max="5893" width="9.5703125" style="30" customWidth="1"/>
    <col min="5894" max="5894" width="0" style="30" hidden="1" customWidth="1"/>
    <col min="5895" max="5895" width="8.85546875" style="30" customWidth="1"/>
    <col min="5896" max="5896" width="0" style="30" hidden="1" customWidth="1"/>
    <col min="5897" max="5898" width="9.140625" style="30"/>
    <col min="5899" max="5899" width="8.5703125" style="30" customWidth="1"/>
    <col min="5900" max="6144" width="9.140625" style="30"/>
    <col min="6145" max="6145" width="3.85546875" style="30" customWidth="1"/>
    <col min="6146" max="6146" width="57.5703125" style="30" customWidth="1"/>
    <col min="6147" max="6147" width="12.28515625" style="30" customWidth="1"/>
    <col min="6148" max="6148" width="0" style="30" hidden="1" customWidth="1"/>
    <col min="6149" max="6149" width="9.5703125" style="30" customWidth="1"/>
    <col min="6150" max="6150" width="0" style="30" hidden="1" customWidth="1"/>
    <col min="6151" max="6151" width="8.85546875" style="30" customWidth="1"/>
    <col min="6152" max="6152" width="0" style="30" hidden="1" customWidth="1"/>
    <col min="6153" max="6154" width="9.140625" style="30"/>
    <col min="6155" max="6155" width="8.5703125" style="30" customWidth="1"/>
    <col min="6156" max="6400" width="9.140625" style="30"/>
    <col min="6401" max="6401" width="3.85546875" style="30" customWidth="1"/>
    <col min="6402" max="6402" width="57.5703125" style="30" customWidth="1"/>
    <col min="6403" max="6403" width="12.28515625" style="30" customWidth="1"/>
    <col min="6404" max="6404" width="0" style="30" hidden="1" customWidth="1"/>
    <col min="6405" max="6405" width="9.5703125" style="30" customWidth="1"/>
    <col min="6406" max="6406" width="0" style="30" hidden="1" customWidth="1"/>
    <col min="6407" max="6407" width="8.85546875" style="30" customWidth="1"/>
    <col min="6408" max="6408" width="0" style="30" hidden="1" customWidth="1"/>
    <col min="6409" max="6410" width="9.140625" style="30"/>
    <col min="6411" max="6411" width="8.5703125" style="30" customWidth="1"/>
    <col min="6412" max="6656" width="9.140625" style="30"/>
    <col min="6657" max="6657" width="3.85546875" style="30" customWidth="1"/>
    <col min="6658" max="6658" width="57.5703125" style="30" customWidth="1"/>
    <col min="6659" max="6659" width="12.28515625" style="30" customWidth="1"/>
    <col min="6660" max="6660" width="0" style="30" hidden="1" customWidth="1"/>
    <col min="6661" max="6661" width="9.5703125" style="30" customWidth="1"/>
    <col min="6662" max="6662" width="0" style="30" hidden="1" customWidth="1"/>
    <col min="6663" max="6663" width="8.85546875" style="30" customWidth="1"/>
    <col min="6664" max="6664" width="0" style="30" hidden="1" customWidth="1"/>
    <col min="6665" max="6666" width="9.140625" style="30"/>
    <col min="6667" max="6667" width="8.5703125" style="30" customWidth="1"/>
    <col min="6668" max="6912" width="9.140625" style="30"/>
    <col min="6913" max="6913" width="3.85546875" style="30" customWidth="1"/>
    <col min="6914" max="6914" width="57.5703125" style="30" customWidth="1"/>
    <col min="6915" max="6915" width="12.28515625" style="30" customWidth="1"/>
    <col min="6916" max="6916" width="0" style="30" hidden="1" customWidth="1"/>
    <col min="6917" max="6917" width="9.5703125" style="30" customWidth="1"/>
    <col min="6918" max="6918" width="0" style="30" hidden="1" customWidth="1"/>
    <col min="6919" max="6919" width="8.85546875" style="30" customWidth="1"/>
    <col min="6920" max="6920" width="0" style="30" hidden="1" customWidth="1"/>
    <col min="6921" max="6922" width="9.140625" style="30"/>
    <col min="6923" max="6923" width="8.5703125" style="30" customWidth="1"/>
    <col min="6924" max="7168" width="9.140625" style="30"/>
    <col min="7169" max="7169" width="3.85546875" style="30" customWidth="1"/>
    <col min="7170" max="7170" width="57.5703125" style="30" customWidth="1"/>
    <col min="7171" max="7171" width="12.28515625" style="30" customWidth="1"/>
    <col min="7172" max="7172" width="0" style="30" hidden="1" customWidth="1"/>
    <col min="7173" max="7173" width="9.5703125" style="30" customWidth="1"/>
    <col min="7174" max="7174" width="0" style="30" hidden="1" customWidth="1"/>
    <col min="7175" max="7175" width="8.85546875" style="30" customWidth="1"/>
    <col min="7176" max="7176" width="0" style="30" hidden="1" customWidth="1"/>
    <col min="7177" max="7178" width="9.140625" style="30"/>
    <col min="7179" max="7179" width="8.5703125" style="30" customWidth="1"/>
    <col min="7180" max="7424" width="9.140625" style="30"/>
    <col min="7425" max="7425" width="3.85546875" style="30" customWidth="1"/>
    <col min="7426" max="7426" width="57.5703125" style="30" customWidth="1"/>
    <col min="7427" max="7427" width="12.28515625" style="30" customWidth="1"/>
    <col min="7428" max="7428" width="0" style="30" hidden="1" customWidth="1"/>
    <col min="7429" max="7429" width="9.5703125" style="30" customWidth="1"/>
    <col min="7430" max="7430" width="0" style="30" hidden="1" customWidth="1"/>
    <col min="7431" max="7431" width="8.85546875" style="30" customWidth="1"/>
    <col min="7432" max="7432" width="0" style="30" hidden="1" customWidth="1"/>
    <col min="7433" max="7434" width="9.140625" style="30"/>
    <col min="7435" max="7435" width="8.5703125" style="30" customWidth="1"/>
    <col min="7436" max="7680" width="9.140625" style="30"/>
    <col min="7681" max="7681" width="3.85546875" style="30" customWidth="1"/>
    <col min="7682" max="7682" width="57.5703125" style="30" customWidth="1"/>
    <col min="7683" max="7683" width="12.28515625" style="30" customWidth="1"/>
    <col min="7684" max="7684" width="0" style="30" hidden="1" customWidth="1"/>
    <col min="7685" max="7685" width="9.5703125" style="30" customWidth="1"/>
    <col min="7686" max="7686" width="0" style="30" hidden="1" customWidth="1"/>
    <col min="7687" max="7687" width="8.85546875" style="30" customWidth="1"/>
    <col min="7688" max="7688" width="0" style="30" hidden="1" customWidth="1"/>
    <col min="7689" max="7690" width="9.140625" style="30"/>
    <col min="7691" max="7691" width="8.5703125" style="30" customWidth="1"/>
    <col min="7692" max="7936" width="9.140625" style="30"/>
    <col min="7937" max="7937" width="3.85546875" style="30" customWidth="1"/>
    <col min="7938" max="7938" width="57.5703125" style="30" customWidth="1"/>
    <col min="7939" max="7939" width="12.28515625" style="30" customWidth="1"/>
    <col min="7940" max="7940" width="0" style="30" hidden="1" customWidth="1"/>
    <col min="7941" max="7941" width="9.5703125" style="30" customWidth="1"/>
    <col min="7942" max="7942" width="0" style="30" hidden="1" customWidth="1"/>
    <col min="7943" max="7943" width="8.85546875" style="30" customWidth="1"/>
    <col min="7944" max="7944" width="0" style="30" hidden="1" customWidth="1"/>
    <col min="7945" max="7946" width="9.140625" style="30"/>
    <col min="7947" max="7947" width="8.5703125" style="30" customWidth="1"/>
    <col min="7948" max="8192" width="9.140625" style="30"/>
    <col min="8193" max="8193" width="3.85546875" style="30" customWidth="1"/>
    <col min="8194" max="8194" width="57.5703125" style="30" customWidth="1"/>
    <col min="8195" max="8195" width="12.28515625" style="30" customWidth="1"/>
    <col min="8196" max="8196" width="0" style="30" hidden="1" customWidth="1"/>
    <col min="8197" max="8197" width="9.5703125" style="30" customWidth="1"/>
    <col min="8198" max="8198" width="0" style="30" hidden="1" customWidth="1"/>
    <col min="8199" max="8199" width="8.85546875" style="30" customWidth="1"/>
    <col min="8200" max="8200" width="0" style="30" hidden="1" customWidth="1"/>
    <col min="8201" max="8202" width="9.140625" style="30"/>
    <col min="8203" max="8203" width="8.5703125" style="30" customWidth="1"/>
    <col min="8204" max="8448" width="9.140625" style="30"/>
    <col min="8449" max="8449" width="3.85546875" style="30" customWidth="1"/>
    <col min="8450" max="8450" width="57.5703125" style="30" customWidth="1"/>
    <col min="8451" max="8451" width="12.28515625" style="30" customWidth="1"/>
    <col min="8452" max="8452" width="0" style="30" hidden="1" customWidth="1"/>
    <col min="8453" max="8453" width="9.5703125" style="30" customWidth="1"/>
    <col min="8454" max="8454" width="0" style="30" hidden="1" customWidth="1"/>
    <col min="8455" max="8455" width="8.85546875" style="30" customWidth="1"/>
    <col min="8456" max="8456" width="0" style="30" hidden="1" customWidth="1"/>
    <col min="8457" max="8458" width="9.140625" style="30"/>
    <col min="8459" max="8459" width="8.5703125" style="30" customWidth="1"/>
    <col min="8460" max="8704" width="9.140625" style="30"/>
    <col min="8705" max="8705" width="3.85546875" style="30" customWidth="1"/>
    <col min="8706" max="8706" width="57.5703125" style="30" customWidth="1"/>
    <col min="8707" max="8707" width="12.28515625" style="30" customWidth="1"/>
    <col min="8708" max="8708" width="0" style="30" hidden="1" customWidth="1"/>
    <col min="8709" max="8709" width="9.5703125" style="30" customWidth="1"/>
    <col min="8710" max="8710" width="0" style="30" hidden="1" customWidth="1"/>
    <col min="8711" max="8711" width="8.85546875" style="30" customWidth="1"/>
    <col min="8712" max="8712" width="0" style="30" hidden="1" customWidth="1"/>
    <col min="8713" max="8714" width="9.140625" style="30"/>
    <col min="8715" max="8715" width="8.5703125" style="30" customWidth="1"/>
    <col min="8716" max="8960" width="9.140625" style="30"/>
    <col min="8961" max="8961" width="3.85546875" style="30" customWidth="1"/>
    <col min="8962" max="8962" width="57.5703125" style="30" customWidth="1"/>
    <col min="8963" max="8963" width="12.28515625" style="30" customWidth="1"/>
    <col min="8964" max="8964" width="0" style="30" hidden="1" customWidth="1"/>
    <col min="8965" max="8965" width="9.5703125" style="30" customWidth="1"/>
    <col min="8966" max="8966" width="0" style="30" hidden="1" customWidth="1"/>
    <col min="8967" max="8967" width="8.85546875" style="30" customWidth="1"/>
    <col min="8968" max="8968" width="0" style="30" hidden="1" customWidth="1"/>
    <col min="8969" max="8970" width="9.140625" style="30"/>
    <col min="8971" max="8971" width="8.5703125" style="30" customWidth="1"/>
    <col min="8972" max="9216" width="9.140625" style="30"/>
    <col min="9217" max="9217" width="3.85546875" style="30" customWidth="1"/>
    <col min="9218" max="9218" width="57.5703125" style="30" customWidth="1"/>
    <col min="9219" max="9219" width="12.28515625" style="30" customWidth="1"/>
    <col min="9220" max="9220" width="0" style="30" hidden="1" customWidth="1"/>
    <col min="9221" max="9221" width="9.5703125" style="30" customWidth="1"/>
    <col min="9222" max="9222" width="0" style="30" hidden="1" customWidth="1"/>
    <col min="9223" max="9223" width="8.85546875" style="30" customWidth="1"/>
    <col min="9224" max="9224" width="0" style="30" hidden="1" customWidth="1"/>
    <col min="9225" max="9226" width="9.140625" style="30"/>
    <col min="9227" max="9227" width="8.5703125" style="30" customWidth="1"/>
    <col min="9228" max="9472" width="9.140625" style="30"/>
    <col min="9473" max="9473" width="3.85546875" style="30" customWidth="1"/>
    <col min="9474" max="9474" width="57.5703125" style="30" customWidth="1"/>
    <col min="9475" max="9475" width="12.28515625" style="30" customWidth="1"/>
    <col min="9476" max="9476" width="0" style="30" hidden="1" customWidth="1"/>
    <col min="9477" max="9477" width="9.5703125" style="30" customWidth="1"/>
    <col min="9478" max="9478" width="0" style="30" hidden="1" customWidth="1"/>
    <col min="9479" max="9479" width="8.85546875" style="30" customWidth="1"/>
    <col min="9480" max="9480" width="0" style="30" hidden="1" customWidth="1"/>
    <col min="9481" max="9482" width="9.140625" style="30"/>
    <col min="9483" max="9483" width="8.5703125" style="30" customWidth="1"/>
    <col min="9484" max="9728" width="9.140625" style="30"/>
    <col min="9729" max="9729" width="3.85546875" style="30" customWidth="1"/>
    <col min="9730" max="9730" width="57.5703125" style="30" customWidth="1"/>
    <col min="9731" max="9731" width="12.28515625" style="30" customWidth="1"/>
    <col min="9732" max="9732" width="0" style="30" hidden="1" customWidth="1"/>
    <col min="9733" max="9733" width="9.5703125" style="30" customWidth="1"/>
    <col min="9734" max="9734" width="0" style="30" hidden="1" customWidth="1"/>
    <col min="9735" max="9735" width="8.85546875" style="30" customWidth="1"/>
    <col min="9736" max="9736" width="0" style="30" hidden="1" customWidth="1"/>
    <col min="9737" max="9738" width="9.140625" style="30"/>
    <col min="9739" max="9739" width="8.5703125" style="30" customWidth="1"/>
    <col min="9740" max="9984" width="9.140625" style="30"/>
    <col min="9985" max="9985" width="3.85546875" style="30" customWidth="1"/>
    <col min="9986" max="9986" width="57.5703125" style="30" customWidth="1"/>
    <col min="9987" max="9987" width="12.28515625" style="30" customWidth="1"/>
    <col min="9988" max="9988" width="0" style="30" hidden="1" customWidth="1"/>
    <col min="9989" max="9989" width="9.5703125" style="30" customWidth="1"/>
    <col min="9990" max="9990" width="0" style="30" hidden="1" customWidth="1"/>
    <col min="9991" max="9991" width="8.85546875" style="30" customWidth="1"/>
    <col min="9992" max="9992" width="0" style="30" hidden="1" customWidth="1"/>
    <col min="9993" max="9994" width="9.140625" style="30"/>
    <col min="9995" max="9995" width="8.5703125" style="30" customWidth="1"/>
    <col min="9996" max="10240" width="9.140625" style="30"/>
    <col min="10241" max="10241" width="3.85546875" style="30" customWidth="1"/>
    <col min="10242" max="10242" width="57.5703125" style="30" customWidth="1"/>
    <col min="10243" max="10243" width="12.28515625" style="30" customWidth="1"/>
    <col min="10244" max="10244" width="0" style="30" hidden="1" customWidth="1"/>
    <col min="10245" max="10245" width="9.5703125" style="30" customWidth="1"/>
    <col min="10246" max="10246" width="0" style="30" hidden="1" customWidth="1"/>
    <col min="10247" max="10247" width="8.85546875" style="30" customWidth="1"/>
    <col min="10248" max="10248" width="0" style="30" hidden="1" customWidth="1"/>
    <col min="10249" max="10250" width="9.140625" style="30"/>
    <col min="10251" max="10251" width="8.5703125" style="30" customWidth="1"/>
    <col min="10252" max="10496" width="9.140625" style="30"/>
    <col min="10497" max="10497" width="3.85546875" style="30" customWidth="1"/>
    <col min="10498" max="10498" width="57.5703125" style="30" customWidth="1"/>
    <col min="10499" max="10499" width="12.28515625" style="30" customWidth="1"/>
    <col min="10500" max="10500" width="0" style="30" hidden="1" customWidth="1"/>
    <col min="10501" max="10501" width="9.5703125" style="30" customWidth="1"/>
    <col min="10502" max="10502" width="0" style="30" hidden="1" customWidth="1"/>
    <col min="10503" max="10503" width="8.85546875" style="30" customWidth="1"/>
    <col min="10504" max="10504" width="0" style="30" hidden="1" customWidth="1"/>
    <col min="10505" max="10506" width="9.140625" style="30"/>
    <col min="10507" max="10507" width="8.5703125" style="30" customWidth="1"/>
    <col min="10508" max="10752" width="9.140625" style="30"/>
    <col min="10753" max="10753" width="3.85546875" style="30" customWidth="1"/>
    <col min="10754" max="10754" width="57.5703125" style="30" customWidth="1"/>
    <col min="10755" max="10755" width="12.28515625" style="30" customWidth="1"/>
    <col min="10756" max="10756" width="0" style="30" hidden="1" customWidth="1"/>
    <col min="10757" max="10757" width="9.5703125" style="30" customWidth="1"/>
    <col min="10758" max="10758" width="0" style="30" hidden="1" customWidth="1"/>
    <col min="10759" max="10759" width="8.85546875" style="30" customWidth="1"/>
    <col min="10760" max="10760" width="0" style="30" hidden="1" customWidth="1"/>
    <col min="10761" max="10762" width="9.140625" style="30"/>
    <col min="10763" max="10763" width="8.5703125" style="30" customWidth="1"/>
    <col min="10764" max="11008" width="9.140625" style="30"/>
    <col min="11009" max="11009" width="3.85546875" style="30" customWidth="1"/>
    <col min="11010" max="11010" width="57.5703125" style="30" customWidth="1"/>
    <col min="11011" max="11011" width="12.28515625" style="30" customWidth="1"/>
    <col min="11012" max="11012" width="0" style="30" hidden="1" customWidth="1"/>
    <col min="11013" max="11013" width="9.5703125" style="30" customWidth="1"/>
    <col min="11014" max="11014" width="0" style="30" hidden="1" customWidth="1"/>
    <col min="11015" max="11015" width="8.85546875" style="30" customWidth="1"/>
    <col min="11016" max="11016" width="0" style="30" hidden="1" customWidth="1"/>
    <col min="11017" max="11018" width="9.140625" style="30"/>
    <col min="11019" max="11019" width="8.5703125" style="30" customWidth="1"/>
    <col min="11020" max="11264" width="9.140625" style="30"/>
    <col min="11265" max="11265" width="3.85546875" style="30" customWidth="1"/>
    <col min="11266" max="11266" width="57.5703125" style="30" customWidth="1"/>
    <col min="11267" max="11267" width="12.28515625" style="30" customWidth="1"/>
    <col min="11268" max="11268" width="0" style="30" hidden="1" customWidth="1"/>
    <col min="11269" max="11269" width="9.5703125" style="30" customWidth="1"/>
    <col min="11270" max="11270" width="0" style="30" hidden="1" customWidth="1"/>
    <col min="11271" max="11271" width="8.85546875" style="30" customWidth="1"/>
    <col min="11272" max="11272" width="0" style="30" hidden="1" customWidth="1"/>
    <col min="11273" max="11274" width="9.140625" style="30"/>
    <col min="11275" max="11275" width="8.5703125" style="30" customWidth="1"/>
    <col min="11276" max="11520" width="9.140625" style="30"/>
    <col min="11521" max="11521" width="3.85546875" style="30" customWidth="1"/>
    <col min="11522" max="11522" width="57.5703125" style="30" customWidth="1"/>
    <col min="11523" max="11523" width="12.28515625" style="30" customWidth="1"/>
    <col min="11524" max="11524" width="0" style="30" hidden="1" customWidth="1"/>
    <col min="11525" max="11525" width="9.5703125" style="30" customWidth="1"/>
    <col min="11526" max="11526" width="0" style="30" hidden="1" customWidth="1"/>
    <col min="11527" max="11527" width="8.85546875" style="30" customWidth="1"/>
    <col min="11528" max="11528" width="0" style="30" hidden="1" customWidth="1"/>
    <col min="11529" max="11530" width="9.140625" style="30"/>
    <col min="11531" max="11531" width="8.5703125" style="30" customWidth="1"/>
    <col min="11532" max="11776" width="9.140625" style="30"/>
    <col min="11777" max="11777" width="3.85546875" style="30" customWidth="1"/>
    <col min="11778" max="11778" width="57.5703125" style="30" customWidth="1"/>
    <col min="11779" max="11779" width="12.28515625" style="30" customWidth="1"/>
    <col min="11780" max="11780" width="0" style="30" hidden="1" customWidth="1"/>
    <col min="11781" max="11781" width="9.5703125" style="30" customWidth="1"/>
    <col min="11782" max="11782" width="0" style="30" hidden="1" customWidth="1"/>
    <col min="11783" max="11783" width="8.85546875" style="30" customWidth="1"/>
    <col min="11784" max="11784" width="0" style="30" hidden="1" customWidth="1"/>
    <col min="11785" max="11786" width="9.140625" style="30"/>
    <col min="11787" max="11787" width="8.5703125" style="30" customWidth="1"/>
    <col min="11788" max="12032" width="9.140625" style="30"/>
    <col min="12033" max="12033" width="3.85546875" style="30" customWidth="1"/>
    <col min="12034" max="12034" width="57.5703125" style="30" customWidth="1"/>
    <col min="12035" max="12035" width="12.28515625" style="30" customWidth="1"/>
    <col min="12036" max="12036" width="0" style="30" hidden="1" customWidth="1"/>
    <col min="12037" max="12037" width="9.5703125" style="30" customWidth="1"/>
    <col min="12038" max="12038" width="0" style="30" hidden="1" customWidth="1"/>
    <col min="12039" max="12039" width="8.85546875" style="30" customWidth="1"/>
    <col min="12040" max="12040" width="0" style="30" hidden="1" customWidth="1"/>
    <col min="12041" max="12042" width="9.140625" style="30"/>
    <col min="12043" max="12043" width="8.5703125" style="30" customWidth="1"/>
    <col min="12044" max="12288" width="9.140625" style="30"/>
    <col min="12289" max="12289" width="3.85546875" style="30" customWidth="1"/>
    <col min="12290" max="12290" width="57.5703125" style="30" customWidth="1"/>
    <col min="12291" max="12291" width="12.28515625" style="30" customWidth="1"/>
    <col min="12292" max="12292" width="0" style="30" hidden="1" customWidth="1"/>
    <col min="12293" max="12293" width="9.5703125" style="30" customWidth="1"/>
    <col min="12294" max="12294" width="0" style="30" hidden="1" customWidth="1"/>
    <col min="12295" max="12295" width="8.85546875" style="30" customWidth="1"/>
    <col min="12296" max="12296" width="0" style="30" hidden="1" customWidth="1"/>
    <col min="12297" max="12298" width="9.140625" style="30"/>
    <col min="12299" max="12299" width="8.5703125" style="30" customWidth="1"/>
    <col min="12300" max="12544" width="9.140625" style="30"/>
    <col min="12545" max="12545" width="3.85546875" style="30" customWidth="1"/>
    <col min="12546" max="12546" width="57.5703125" style="30" customWidth="1"/>
    <col min="12547" max="12547" width="12.28515625" style="30" customWidth="1"/>
    <col min="12548" max="12548" width="0" style="30" hidden="1" customWidth="1"/>
    <col min="12549" max="12549" width="9.5703125" style="30" customWidth="1"/>
    <col min="12550" max="12550" width="0" style="30" hidden="1" customWidth="1"/>
    <col min="12551" max="12551" width="8.85546875" style="30" customWidth="1"/>
    <col min="12552" max="12552" width="0" style="30" hidden="1" customWidth="1"/>
    <col min="12553" max="12554" width="9.140625" style="30"/>
    <col min="12555" max="12555" width="8.5703125" style="30" customWidth="1"/>
    <col min="12556" max="12800" width="9.140625" style="30"/>
    <col min="12801" max="12801" width="3.85546875" style="30" customWidth="1"/>
    <col min="12802" max="12802" width="57.5703125" style="30" customWidth="1"/>
    <col min="12803" max="12803" width="12.28515625" style="30" customWidth="1"/>
    <col min="12804" max="12804" width="0" style="30" hidden="1" customWidth="1"/>
    <col min="12805" max="12805" width="9.5703125" style="30" customWidth="1"/>
    <col min="12806" max="12806" width="0" style="30" hidden="1" customWidth="1"/>
    <col min="12807" max="12807" width="8.85546875" style="30" customWidth="1"/>
    <col min="12808" max="12808" width="0" style="30" hidden="1" customWidth="1"/>
    <col min="12809" max="12810" width="9.140625" style="30"/>
    <col min="12811" max="12811" width="8.5703125" style="30" customWidth="1"/>
    <col min="12812" max="13056" width="9.140625" style="30"/>
    <col min="13057" max="13057" width="3.85546875" style="30" customWidth="1"/>
    <col min="13058" max="13058" width="57.5703125" style="30" customWidth="1"/>
    <col min="13059" max="13059" width="12.28515625" style="30" customWidth="1"/>
    <col min="13060" max="13060" width="0" style="30" hidden="1" customWidth="1"/>
    <col min="13061" max="13061" width="9.5703125" style="30" customWidth="1"/>
    <col min="13062" max="13062" width="0" style="30" hidden="1" customWidth="1"/>
    <col min="13063" max="13063" width="8.85546875" style="30" customWidth="1"/>
    <col min="13064" max="13064" width="0" style="30" hidden="1" customWidth="1"/>
    <col min="13065" max="13066" width="9.140625" style="30"/>
    <col min="13067" max="13067" width="8.5703125" style="30" customWidth="1"/>
    <col min="13068" max="13312" width="9.140625" style="30"/>
    <col min="13313" max="13313" width="3.85546875" style="30" customWidth="1"/>
    <col min="13314" max="13314" width="57.5703125" style="30" customWidth="1"/>
    <col min="13315" max="13315" width="12.28515625" style="30" customWidth="1"/>
    <col min="13316" max="13316" width="0" style="30" hidden="1" customWidth="1"/>
    <col min="13317" max="13317" width="9.5703125" style="30" customWidth="1"/>
    <col min="13318" max="13318" width="0" style="30" hidden="1" customWidth="1"/>
    <col min="13319" max="13319" width="8.85546875" style="30" customWidth="1"/>
    <col min="13320" max="13320" width="0" style="30" hidden="1" customWidth="1"/>
    <col min="13321" max="13322" width="9.140625" style="30"/>
    <col min="13323" max="13323" width="8.5703125" style="30" customWidth="1"/>
    <col min="13324" max="13568" width="9.140625" style="30"/>
    <col min="13569" max="13569" width="3.85546875" style="30" customWidth="1"/>
    <col min="13570" max="13570" width="57.5703125" style="30" customWidth="1"/>
    <col min="13571" max="13571" width="12.28515625" style="30" customWidth="1"/>
    <col min="13572" max="13572" width="0" style="30" hidden="1" customWidth="1"/>
    <col min="13573" max="13573" width="9.5703125" style="30" customWidth="1"/>
    <col min="13574" max="13574" width="0" style="30" hidden="1" customWidth="1"/>
    <col min="13575" max="13575" width="8.85546875" style="30" customWidth="1"/>
    <col min="13576" max="13576" width="0" style="30" hidden="1" customWidth="1"/>
    <col min="13577" max="13578" width="9.140625" style="30"/>
    <col min="13579" max="13579" width="8.5703125" style="30" customWidth="1"/>
    <col min="13580" max="13824" width="9.140625" style="30"/>
    <col min="13825" max="13825" width="3.85546875" style="30" customWidth="1"/>
    <col min="13826" max="13826" width="57.5703125" style="30" customWidth="1"/>
    <col min="13827" max="13827" width="12.28515625" style="30" customWidth="1"/>
    <col min="13828" max="13828" width="0" style="30" hidden="1" customWidth="1"/>
    <col min="13829" max="13829" width="9.5703125" style="30" customWidth="1"/>
    <col min="13830" max="13830" width="0" style="30" hidden="1" customWidth="1"/>
    <col min="13831" max="13831" width="8.85546875" style="30" customWidth="1"/>
    <col min="13832" max="13832" width="0" style="30" hidden="1" customWidth="1"/>
    <col min="13833" max="13834" width="9.140625" style="30"/>
    <col min="13835" max="13835" width="8.5703125" style="30" customWidth="1"/>
    <col min="13836" max="14080" width="9.140625" style="30"/>
    <col min="14081" max="14081" width="3.85546875" style="30" customWidth="1"/>
    <col min="14082" max="14082" width="57.5703125" style="30" customWidth="1"/>
    <col min="14083" max="14083" width="12.28515625" style="30" customWidth="1"/>
    <col min="14084" max="14084" width="0" style="30" hidden="1" customWidth="1"/>
    <col min="14085" max="14085" width="9.5703125" style="30" customWidth="1"/>
    <col min="14086" max="14086" width="0" style="30" hidden="1" customWidth="1"/>
    <col min="14087" max="14087" width="8.85546875" style="30" customWidth="1"/>
    <col min="14088" max="14088" width="0" style="30" hidden="1" customWidth="1"/>
    <col min="14089" max="14090" width="9.140625" style="30"/>
    <col min="14091" max="14091" width="8.5703125" style="30" customWidth="1"/>
    <col min="14092" max="14336" width="9.140625" style="30"/>
    <col min="14337" max="14337" width="3.85546875" style="30" customWidth="1"/>
    <col min="14338" max="14338" width="57.5703125" style="30" customWidth="1"/>
    <col min="14339" max="14339" width="12.28515625" style="30" customWidth="1"/>
    <col min="14340" max="14340" width="0" style="30" hidden="1" customWidth="1"/>
    <col min="14341" max="14341" width="9.5703125" style="30" customWidth="1"/>
    <col min="14342" max="14342" width="0" style="30" hidden="1" customWidth="1"/>
    <col min="14343" max="14343" width="8.85546875" style="30" customWidth="1"/>
    <col min="14344" max="14344" width="0" style="30" hidden="1" customWidth="1"/>
    <col min="14345" max="14346" width="9.140625" style="30"/>
    <col min="14347" max="14347" width="8.5703125" style="30" customWidth="1"/>
    <col min="14348" max="14592" width="9.140625" style="30"/>
    <col min="14593" max="14593" width="3.85546875" style="30" customWidth="1"/>
    <col min="14594" max="14594" width="57.5703125" style="30" customWidth="1"/>
    <col min="14595" max="14595" width="12.28515625" style="30" customWidth="1"/>
    <col min="14596" max="14596" width="0" style="30" hidden="1" customWidth="1"/>
    <col min="14597" max="14597" width="9.5703125" style="30" customWidth="1"/>
    <col min="14598" max="14598" width="0" style="30" hidden="1" customWidth="1"/>
    <col min="14599" max="14599" width="8.85546875" style="30" customWidth="1"/>
    <col min="14600" max="14600" width="0" style="30" hidden="1" customWidth="1"/>
    <col min="14601" max="14602" width="9.140625" style="30"/>
    <col min="14603" max="14603" width="8.5703125" style="30" customWidth="1"/>
    <col min="14604" max="14848" width="9.140625" style="30"/>
    <col min="14849" max="14849" width="3.85546875" style="30" customWidth="1"/>
    <col min="14850" max="14850" width="57.5703125" style="30" customWidth="1"/>
    <col min="14851" max="14851" width="12.28515625" style="30" customWidth="1"/>
    <col min="14852" max="14852" width="0" style="30" hidden="1" customWidth="1"/>
    <col min="14853" max="14853" width="9.5703125" style="30" customWidth="1"/>
    <col min="14854" max="14854" width="0" style="30" hidden="1" customWidth="1"/>
    <col min="14855" max="14855" width="8.85546875" style="30" customWidth="1"/>
    <col min="14856" max="14856" width="0" style="30" hidden="1" customWidth="1"/>
    <col min="14857" max="14858" width="9.140625" style="30"/>
    <col min="14859" max="14859" width="8.5703125" style="30" customWidth="1"/>
    <col min="14860" max="15104" width="9.140625" style="30"/>
    <col min="15105" max="15105" width="3.85546875" style="30" customWidth="1"/>
    <col min="15106" max="15106" width="57.5703125" style="30" customWidth="1"/>
    <col min="15107" max="15107" width="12.28515625" style="30" customWidth="1"/>
    <col min="15108" max="15108" width="0" style="30" hidden="1" customWidth="1"/>
    <col min="15109" max="15109" width="9.5703125" style="30" customWidth="1"/>
    <col min="15110" max="15110" width="0" style="30" hidden="1" customWidth="1"/>
    <col min="15111" max="15111" width="8.85546875" style="30" customWidth="1"/>
    <col min="15112" max="15112" width="0" style="30" hidden="1" customWidth="1"/>
    <col min="15113" max="15114" width="9.140625" style="30"/>
    <col min="15115" max="15115" width="8.5703125" style="30" customWidth="1"/>
    <col min="15116" max="15360" width="9.140625" style="30"/>
    <col min="15361" max="15361" width="3.85546875" style="30" customWidth="1"/>
    <col min="15362" max="15362" width="57.5703125" style="30" customWidth="1"/>
    <col min="15363" max="15363" width="12.28515625" style="30" customWidth="1"/>
    <col min="15364" max="15364" width="0" style="30" hidden="1" customWidth="1"/>
    <col min="15365" max="15365" width="9.5703125" style="30" customWidth="1"/>
    <col min="15366" max="15366" width="0" style="30" hidden="1" customWidth="1"/>
    <col min="15367" max="15367" width="8.85546875" style="30" customWidth="1"/>
    <col min="15368" max="15368" width="0" style="30" hidden="1" customWidth="1"/>
    <col min="15369" max="15370" width="9.140625" style="30"/>
    <col min="15371" max="15371" width="8.5703125" style="30" customWidth="1"/>
    <col min="15372" max="15616" width="9.140625" style="30"/>
    <col min="15617" max="15617" width="3.85546875" style="30" customWidth="1"/>
    <col min="15618" max="15618" width="57.5703125" style="30" customWidth="1"/>
    <col min="15619" max="15619" width="12.28515625" style="30" customWidth="1"/>
    <col min="15620" max="15620" width="0" style="30" hidden="1" customWidth="1"/>
    <col min="15621" max="15621" width="9.5703125" style="30" customWidth="1"/>
    <col min="15622" max="15622" width="0" style="30" hidden="1" customWidth="1"/>
    <col min="15623" max="15623" width="8.85546875" style="30" customWidth="1"/>
    <col min="15624" max="15624" width="0" style="30" hidden="1" customWidth="1"/>
    <col min="15625" max="15626" width="9.140625" style="30"/>
    <col min="15627" max="15627" width="8.5703125" style="30" customWidth="1"/>
    <col min="15628" max="15872" width="9.140625" style="30"/>
    <col min="15873" max="15873" width="3.85546875" style="30" customWidth="1"/>
    <col min="15874" max="15874" width="57.5703125" style="30" customWidth="1"/>
    <col min="15875" max="15875" width="12.28515625" style="30" customWidth="1"/>
    <col min="15876" max="15876" width="0" style="30" hidden="1" customWidth="1"/>
    <col min="15877" max="15877" width="9.5703125" style="30" customWidth="1"/>
    <col min="15878" max="15878" width="0" style="30" hidden="1" customWidth="1"/>
    <col min="15879" max="15879" width="8.85546875" style="30" customWidth="1"/>
    <col min="15880" max="15880" width="0" style="30" hidden="1" customWidth="1"/>
    <col min="15881" max="15882" width="9.140625" style="30"/>
    <col min="15883" max="15883" width="8.5703125" style="30" customWidth="1"/>
    <col min="15884" max="16128" width="9.140625" style="30"/>
    <col min="16129" max="16129" width="3.85546875" style="30" customWidth="1"/>
    <col min="16130" max="16130" width="57.5703125" style="30" customWidth="1"/>
    <col min="16131" max="16131" width="12.28515625" style="30" customWidth="1"/>
    <col min="16132" max="16132" width="0" style="30" hidden="1" customWidth="1"/>
    <col min="16133" max="16133" width="9.5703125" style="30" customWidth="1"/>
    <col min="16134" max="16134" width="0" style="30" hidden="1" customWidth="1"/>
    <col min="16135" max="16135" width="8.85546875" style="30" customWidth="1"/>
    <col min="16136" max="16136" width="0" style="30" hidden="1" customWidth="1"/>
    <col min="16137" max="16138" width="9.140625" style="30"/>
    <col min="16139" max="16139" width="8.5703125" style="30" customWidth="1"/>
    <col min="16140" max="16384" width="9.140625" style="30"/>
  </cols>
  <sheetData>
    <row r="1" spans="1:12">
      <c r="K1" s="323" t="s">
        <v>145</v>
      </c>
      <c r="L1" s="323"/>
    </row>
    <row r="3" spans="1:12">
      <c r="A3" s="332" t="s">
        <v>99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</row>
    <row r="5" spans="1:12" ht="25.5" customHeight="1">
      <c r="A5" s="327" t="s">
        <v>3</v>
      </c>
      <c r="B5" s="327" t="s">
        <v>100</v>
      </c>
      <c r="C5" s="354" t="s">
        <v>101</v>
      </c>
      <c r="D5" s="33"/>
      <c r="E5" s="355" t="s">
        <v>102</v>
      </c>
      <c r="F5" s="355"/>
      <c r="G5" s="356"/>
      <c r="H5" s="33"/>
      <c r="I5" s="357" t="s">
        <v>103</v>
      </c>
      <c r="J5" s="328"/>
      <c r="K5" s="327" t="s">
        <v>104</v>
      </c>
      <c r="L5" s="327"/>
    </row>
    <row r="6" spans="1:12" ht="52.5" customHeight="1">
      <c r="A6" s="327"/>
      <c r="B6" s="327"/>
      <c r="C6" s="354"/>
      <c r="D6" s="34"/>
      <c r="E6" s="34" t="s">
        <v>105</v>
      </c>
      <c r="F6" s="34"/>
      <c r="G6" s="34" t="s">
        <v>106</v>
      </c>
      <c r="H6" s="35"/>
      <c r="I6" s="34" t="s">
        <v>105</v>
      </c>
      <c r="J6" s="36" t="s">
        <v>106</v>
      </c>
      <c r="K6" s="34" t="s">
        <v>107</v>
      </c>
      <c r="L6" s="34" t="s">
        <v>108</v>
      </c>
    </row>
    <row r="7" spans="1:12">
      <c r="A7" s="37">
        <v>1</v>
      </c>
      <c r="B7" s="34">
        <v>2</v>
      </c>
      <c r="C7" s="38">
        <v>3</v>
      </c>
      <c r="D7" s="34">
        <v>4</v>
      </c>
      <c r="E7" s="34">
        <v>4</v>
      </c>
      <c r="F7" s="39">
        <v>6</v>
      </c>
      <c r="G7" s="39">
        <v>5</v>
      </c>
      <c r="H7" s="40">
        <v>8</v>
      </c>
      <c r="I7" s="40">
        <v>6</v>
      </c>
      <c r="J7" s="40">
        <v>7</v>
      </c>
      <c r="K7" s="40">
        <v>8</v>
      </c>
      <c r="L7" s="40">
        <v>9</v>
      </c>
    </row>
    <row r="8" spans="1:12">
      <c r="A8" s="41"/>
      <c r="B8" s="42" t="s">
        <v>109</v>
      </c>
      <c r="C8" s="43" t="s">
        <v>110</v>
      </c>
      <c r="D8" s="44">
        <v>3.1</v>
      </c>
      <c r="E8" s="44">
        <v>3.1</v>
      </c>
      <c r="F8" s="44"/>
      <c r="G8" s="44"/>
      <c r="H8" s="44"/>
      <c r="I8" s="44">
        <v>3.1</v>
      </c>
      <c r="J8" s="45"/>
      <c r="K8" s="44"/>
      <c r="L8" s="44"/>
    </row>
    <row r="9" spans="1:12">
      <c r="A9" s="41"/>
      <c r="B9" s="42" t="s">
        <v>111</v>
      </c>
      <c r="C9" s="43" t="s">
        <v>110</v>
      </c>
      <c r="D9" s="44">
        <v>190.4</v>
      </c>
      <c r="E9" s="44">
        <v>131.4</v>
      </c>
      <c r="F9" s="44"/>
      <c r="G9" s="44">
        <v>86.4</v>
      </c>
      <c r="H9" s="44"/>
      <c r="I9" s="44">
        <v>131.4</v>
      </c>
      <c r="J9" s="45">
        <v>81.3</v>
      </c>
      <c r="K9" s="44"/>
      <c r="L9" s="44">
        <f t="shared" ref="L9:L26" si="0">+G9-J9</f>
        <v>5.1000000000000085</v>
      </c>
    </row>
    <row r="10" spans="1:12">
      <c r="A10" s="41"/>
      <c r="B10" s="37" t="s">
        <v>112</v>
      </c>
      <c r="C10" s="46" t="s">
        <v>110</v>
      </c>
      <c r="D10" s="44">
        <v>3</v>
      </c>
      <c r="E10" s="44">
        <v>2</v>
      </c>
      <c r="F10" s="44"/>
      <c r="G10" s="44">
        <v>1.5</v>
      </c>
      <c r="H10" s="44"/>
      <c r="I10" s="44">
        <v>2</v>
      </c>
      <c r="J10" s="45">
        <v>1.5</v>
      </c>
      <c r="K10" s="44"/>
      <c r="L10" s="44"/>
    </row>
    <row r="11" spans="1:12">
      <c r="A11" s="41"/>
      <c r="B11" s="42" t="s">
        <v>113</v>
      </c>
      <c r="C11" s="43" t="s">
        <v>114</v>
      </c>
      <c r="D11" s="44">
        <v>305.60000000000002</v>
      </c>
      <c r="E11" s="44">
        <v>358</v>
      </c>
      <c r="F11" s="44"/>
      <c r="G11" s="44">
        <v>240.3</v>
      </c>
      <c r="H11" s="44"/>
      <c r="I11" s="44">
        <v>247.4</v>
      </c>
      <c r="J11" s="45">
        <v>179.9</v>
      </c>
      <c r="K11" s="44">
        <f t="shared" ref="K11:K26" si="1">+E11-I11</f>
        <v>110.6</v>
      </c>
      <c r="L11" s="44">
        <f t="shared" si="0"/>
        <v>60.400000000000006</v>
      </c>
    </row>
    <row r="12" spans="1:12">
      <c r="A12" s="41"/>
      <c r="B12" s="42" t="s">
        <v>115</v>
      </c>
      <c r="C12" s="43" t="s">
        <v>114</v>
      </c>
      <c r="D12" s="44"/>
      <c r="E12" s="44">
        <v>32</v>
      </c>
      <c r="F12" s="44"/>
      <c r="G12" s="44">
        <v>23</v>
      </c>
      <c r="H12" s="44"/>
      <c r="I12" s="44">
        <v>35.4</v>
      </c>
      <c r="J12" s="45">
        <v>25.3</v>
      </c>
      <c r="K12" s="44">
        <f t="shared" si="1"/>
        <v>-3.3999999999999986</v>
      </c>
      <c r="L12" s="44">
        <f t="shared" si="0"/>
        <v>-2.3000000000000007</v>
      </c>
    </row>
    <row r="13" spans="1:12">
      <c r="A13" s="41"/>
      <c r="B13" s="42" t="s">
        <v>116</v>
      </c>
      <c r="C13" s="43" t="s">
        <v>117</v>
      </c>
      <c r="D13" s="44">
        <v>41.5</v>
      </c>
      <c r="E13" s="44">
        <v>23.4</v>
      </c>
      <c r="F13" s="44"/>
      <c r="G13" s="44">
        <v>17.899999999999999</v>
      </c>
      <c r="H13" s="44"/>
      <c r="I13" s="44">
        <v>23.4</v>
      </c>
      <c r="J13" s="45">
        <v>17.5</v>
      </c>
      <c r="K13" s="44"/>
      <c r="L13" s="44">
        <f t="shared" si="0"/>
        <v>0.39999999999999858</v>
      </c>
    </row>
    <row r="14" spans="1:12">
      <c r="A14" s="41"/>
      <c r="B14" s="42" t="s">
        <v>118</v>
      </c>
      <c r="C14" s="43" t="s">
        <v>119</v>
      </c>
      <c r="D14" s="44">
        <v>192.2</v>
      </c>
      <c r="E14" s="44">
        <v>112.3</v>
      </c>
      <c r="F14" s="44"/>
      <c r="G14" s="44">
        <v>73.3</v>
      </c>
      <c r="H14" s="44"/>
      <c r="I14" s="44">
        <v>113.6</v>
      </c>
      <c r="J14" s="45">
        <v>66.400000000000006</v>
      </c>
      <c r="K14" s="44">
        <f t="shared" si="1"/>
        <v>-1.2999999999999972</v>
      </c>
      <c r="L14" s="44">
        <f t="shared" si="0"/>
        <v>6.8999999999999915</v>
      </c>
    </row>
    <row r="15" spans="1:12" ht="22.5">
      <c r="A15" s="41"/>
      <c r="B15" s="47" t="s">
        <v>120</v>
      </c>
      <c r="C15" s="43" t="s">
        <v>121</v>
      </c>
      <c r="D15" s="44">
        <v>189.6</v>
      </c>
      <c r="E15" s="44">
        <v>56.4</v>
      </c>
      <c r="F15" s="44"/>
      <c r="G15" s="44"/>
      <c r="H15" s="44"/>
      <c r="I15" s="44">
        <v>44.9</v>
      </c>
      <c r="J15" s="45"/>
      <c r="K15" s="44">
        <f t="shared" si="1"/>
        <v>11.5</v>
      </c>
      <c r="L15" s="44"/>
    </row>
    <row r="16" spans="1:12">
      <c r="A16" s="41"/>
      <c r="B16" s="42" t="s">
        <v>122</v>
      </c>
      <c r="C16" s="43" t="s">
        <v>123</v>
      </c>
      <c r="D16" s="44">
        <v>54</v>
      </c>
      <c r="E16" s="44">
        <v>46.4</v>
      </c>
      <c r="F16" s="44"/>
      <c r="G16" s="44">
        <v>13.6</v>
      </c>
      <c r="H16" s="44"/>
      <c r="I16" s="44">
        <v>46.4</v>
      </c>
      <c r="J16" s="45">
        <v>13.6</v>
      </c>
      <c r="K16" s="44"/>
      <c r="L16" s="44"/>
    </row>
    <row r="17" spans="1:12">
      <c r="A17" s="41"/>
      <c r="B17" s="42" t="s">
        <v>124</v>
      </c>
      <c r="C17" s="43" t="s">
        <v>125</v>
      </c>
      <c r="D17" s="44">
        <v>31.7</v>
      </c>
      <c r="E17" s="44">
        <v>26.8</v>
      </c>
      <c r="F17" s="44"/>
      <c r="G17" s="44">
        <v>19.5</v>
      </c>
      <c r="H17" s="44"/>
      <c r="I17" s="44">
        <v>31.2</v>
      </c>
      <c r="J17" s="45">
        <v>22.7</v>
      </c>
      <c r="K17" s="44">
        <f t="shared" si="1"/>
        <v>-4.3999999999999986</v>
      </c>
      <c r="L17" s="44">
        <f t="shared" si="0"/>
        <v>-3.1999999999999993</v>
      </c>
    </row>
    <row r="18" spans="1:12">
      <c r="A18" s="41"/>
      <c r="B18" s="42" t="s">
        <v>126</v>
      </c>
      <c r="C18" s="43" t="s">
        <v>127</v>
      </c>
      <c r="D18" s="44">
        <v>22.9</v>
      </c>
      <c r="E18" s="44">
        <v>23.1</v>
      </c>
      <c r="F18" s="44"/>
      <c r="G18" s="44">
        <v>15.7</v>
      </c>
      <c r="H18" s="44"/>
      <c r="I18" s="44">
        <v>23</v>
      </c>
      <c r="J18" s="45">
        <v>15.7</v>
      </c>
      <c r="K18" s="44">
        <f t="shared" si="1"/>
        <v>0.10000000000000142</v>
      </c>
      <c r="L18" s="44"/>
    </row>
    <row r="19" spans="1:12">
      <c r="A19" s="41"/>
      <c r="B19" s="42" t="s">
        <v>128</v>
      </c>
      <c r="C19" s="48" t="s">
        <v>129</v>
      </c>
      <c r="D19" s="44">
        <v>129.5</v>
      </c>
      <c r="E19" s="44">
        <v>105.6</v>
      </c>
      <c r="F19" s="44"/>
      <c r="G19" s="44">
        <v>60</v>
      </c>
      <c r="H19" s="44"/>
      <c r="I19" s="44">
        <v>82.2</v>
      </c>
      <c r="J19" s="45">
        <v>50.3</v>
      </c>
      <c r="K19" s="44">
        <f t="shared" si="1"/>
        <v>23.399999999999991</v>
      </c>
      <c r="L19" s="44">
        <f t="shared" si="0"/>
        <v>9.7000000000000028</v>
      </c>
    </row>
    <row r="20" spans="1:12">
      <c r="A20" s="41"/>
      <c r="B20" s="47" t="s">
        <v>130</v>
      </c>
      <c r="C20" s="43" t="s">
        <v>131</v>
      </c>
      <c r="D20" s="44">
        <v>2159.9</v>
      </c>
      <c r="E20" s="44">
        <v>1769.5</v>
      </c>
      <c r="F20" s="44"/>
      <c r="G20" s="44">
        <v>1228.4000000000001</v>
      </c>
      <c r="H20" s="44"/>
      <c r="I20" s="44">
        <v>1558.9</v>
      </c>
      <c r="J20" s="45">
        <v>1063.3</v>
      </c>
      <c r="K20" s="44">
        <f t="shared" si="1"/>
        <v>210.59999999999991</v>
      </c>
      <c r="L20" s="44">
        <f t="shared" si="0"/>
        <v>165.10000000000014</v>
      </c>
    </row>
    <row r="21" spans="1:12">
      <c r="A21" s="41"/>
      <c r="B21" s="42" t="s">
        <v>132</v>
      </c>
      <c r="C21" s="43" t="s">
        <v>133</v>
      </c>
      <c r="D21" s="44">
        <v>618.6</v>
      </c>
      <c r="E21" s="44">
        <v>458.4</v>
      </c>
      <c r="F21" s="44"/>
      <c r="G21" s="44">
        <v>334</v>
      </c>
      <c r="H21" s="44"/>
      <c r="I21" s="44">
        <v>463.2</v>
      </c>
      <c r="J21" s="45">
        <v>338</v>
      </c>
      <c r="K21" s="44">
        <f t="shared" si="1"/>
        <v>-4.8000000000000114</v>
      </c>
      <c r="L21" s="44">
        <f t="shared" si="0"/>
        <v>-4</v>
      </c>
    </row>
    <row r="22" spans="1:12" ht="22.5">
      <c r="A22" s="41"/>
      <c r="B22" s="42" t="s">
        <v>134</v>
      </c>
      <c r="C22" s="43" t="s">
        <v>135</v>
      </c>
      <c r="D22" s="44">
        <v>863</v>
      </c>
      <c r="E22" s="44">
        <v>863</v>
      </c>
      <c r="F22" s="44"/>
      <c r="G22" s="44"/>
      <c r="H22" s="44"/>
      <c r="I22" s="44">
        <v>863</v>
      </c>
      <c r="J22" s="45"/>
      <c r="K22" s="44"/>
      <c r="L22" s="44"/>
    </row>
    <row r="23" spans="1:12">
      <c r="A23" s="41"/>
      <c r="B23" s="47" t="s">
        <v>136</v>
      </c>
      <c r="C23" s="43" t="s">
        <v>137</v>
      </c>
      <c r="D23" s="44">
        <v>659.7</v>
      </c>
      <c r="E23" s="44">
        <v>623.6</v>
      </c>
      <c r="F23" s="44"/>
      <c r="G23" s="44">
        <v>399.7</v>
      </c>
      <c r="H23" s="44"/>
      <c r="I23" s="44">
        <v>627</v>
      </c>
      <c r="J23" s="45">
        <v>380.4</v>
      </c>
      <c r="K23" s="44">
        <f t="shared" si="1"/>
        <v>-3.3999999999999773</v>
      </c>
      <c r="L23" s="44">
        <f t="shared" si="0"/>
        <v>19.300000000000011</v>
      </c>
    </row>
    <row r="24" spans="1:12" ht="30" customHeight="1">
      <c r="A24" s="41"/>
      <c r="B24" s="47" t="s">
        <v>138</v>
      </c>
      <c r="C24" s="48" t="s">
        <v>139</v>
      </c>
      <c r="D24" s="44">
        <f>849+277.7</f>
        <v>1126.7</v>
      </c>
      <c r="E24" s="44">
        <v>1203.4000000000001</v>
      </c>
      <c r="F24" s="44"/>
      <c r="G24" s="44">
        <f>397.8+237.6</f>
        <v>635.4</v>
      </c>
      <c r="H24" s="44"/>
      <c r="I24" s="44">
        <f>891+287.1</f>
        <v>1178.0999999999999</v>
      </c>
      <c r="J24" s="45">
        <f>413+218.7</f>
        <v>631.70000000000005</v>
      </c>
      <c r="K24" s="44">
        <f t="shared" si="1"/>
        <v>25.300000000000182</v>
      </c>
      <c r="L24" s="44">
        <f t="shared" si="0"/>
        <v>3.6999999999999318</v>
      </c>
    </row>
    <row r="25" spans="1:12" ht="60" customHeight="1">
      <c r="A25" s="41"/>
      <c r="B25" s="42" t="s">
        <v>140</v>
      </c>
      <c r="C25" s="48" t="s">
        <v>141</v>
      </c>
      <c r="D25" s="44">
        <v>18948.3</v>
      </c>
      <c r="E25" s="44">
        <v>11007.8</v>
      </c>
      <c r="F25" s="44"/>
      <c r="G25" s="44">
        <v>256.7</v>
      </c>
      <c r="H25" s="44"/>
      <c r="I25" s="44">
        <v>14334.3</v>
      </c>
      <c r="J25" s="45">
        <v>175</v>
      </c>
      <c r="K25" s="44">
        <f t="shared" si="1"/>
        <v>-3326.5</v>
      </c>
      <c r="L25" s="44">
        <f t="shared" si="0"/>
        <v>81.699999999999989</v>
      </c>
    </row>
    <row r="26" spans="1:12" ht="22.5">
      <c r="A26" s="41"/>
      <c r="B26" s="47" t="s">
        <v>142</v>
      </c>
      <c r="C26" s="43" t="s">
        <v>143</v>
      </c>
      <c r="D26" s="44">
        <f>3010.3+603.4+79.2</f>
        <v>3692.9</v>
      </c>
      <c r="E26" s="44">
        <v>2506.6999999999998</v>
      </c>
      <c r="F26" s="44"/>
      <c r="G26" s="44">
        <v>49.2</v>
      </c>
      <c r="H26" s="44"/>
      <c r="I26" s="44">
        <f>1675.3+475.8+85.9</f>
        <v>2237</v>
      </c>
      <c r="J26" s="45">
        <v>59</v>
      </c>
      <c r="K26" s="44">
        <f t="shared" si="1"/>
        <v>269.69999999999982</v>
      </c>
      <c r="L26" s="44">
        <f t="shared" si="0"/>
        <v>-9.7999999999999972</v>
      </c>
    </row>
    <row r="27" spans="1:12" ht="15.75" customHeight="1">
      <c r="A27" s="45"/>
      <c r="B27" s="49" t="s">
        <v>105</v>
      </c>
      <c r="C27" s="45"/>
      <c r="D27" s="50">
        <f>SUM(D8:D26)</f>
        <v>29232.6</v>
      </c>
      <c r="E27" s="50">
        <f>SUM(E8:E26)</f>
        <v>19352.899999999998</v>
      </c>
      <c r="F27" s="50">
        <f t="shared" ref="F27:L27" si="2">SUM(F8:F26)</f>
        <v>0</v>
      </c>
      <c r="G27" s="50">
        <f t="shared" si="2"/>
        <v>3454.6</v>
      </c>
      <c r="H27" s="50">
        <f t="shared" si="2"/>
        <v>0</v>
      </c>
      <c r="I27" s="50">
        <f t="shared" si="2"/>
        <v>22045.5</v>
      </c>
      <c r="J27" s="50">
        <f t="shared" si="2"/>
        <v>3121.6000000000004</v>
      </c>
      <c r="K27" s="50">
        <f t="shared" si="2"/>
        <v>-2692.6</v>
      </c>
      <c r="L27" s="50">
        <f t="shared" si="2"/>
        <v>333.00000000000006</v>
      </c>
    </row>
    <row r="28" spans="1:12" ht="54.75" customHeight="1">
      <c r="B28" s="30"/>
      <c r="C28" s="30"/>
      <c r="H28" s="51">
        <f>+H11+H13+H14+H16+H17+H23</f>
        <v>0</v>
      </c>
      <c r="I28" s="51"/>
    </row>
    <row r="29" spans="1:12" ht="26.25" customHeight="1">
      <c r="B29" s="30"/>
      <c r="C29" s="30"/>
    </row>
    <row r="30" spans="1:12" ht="28.5" customHeight="1">
      <c r="B30" s="30"/>
      <c r="C30" s="30"/>
    </row>
    <row r="31" spans="1:12" ht="30.75" customHeight="1">
      <c r="B31" s="30"/>
      <c r="C31" s="30"/>
    </row>
    <row r="32" spans="1:12" ht="22.5" customHeight="1">
      <c r="B32" s="30"/>
      <c r="C32" s="30"/>
    </row>
    <row r="33" spans="2:13" ht="27" customHeight="1">
      <c r="B33" s="30"/>
      <c r="C33" s="30"/>
    </row>
    <row r="34" spans="2:13" ht="28.5" customHeight="1">
      <c r="B34" s="30"/>
      <c r="C34" s="30"/>
    </row>
    <row r="35" spans="2:13" ht="26.25" customHeight="1">
      <c r="B35" s="30"/>
      <c r="C35" s="30"/>
    </row>
    <row r="36" spans="2:13" ht="18" customHeight="1">
      <c r="B36" s="30"/>
      <c r="C36" s="30"/>
    </row>
    <row r="37" spans="2:13" ht="20.25" customHeight="1">
      <c r="B37" s="30"/>
      <c r="C37" s="30"/>
    </row>
    <row r="38" spans="2:13" ht="33.75" customHeight="1">
      <c r="B38" s="30"/>
      <c r="C38" s="30"/>
    </row>
    <row r="39" spans="2:13" ht="27" customHeight="1">
      <c r="B39" s="30"/>
      <c r="C39" s="30"/>
      <c r="D39" s="51"/>
      <c r="E39" s="51"/>
      <c r="F39" s="51"/>
      <c r="G39" s="51"/>
      <c r="H39" s="51"/>
      <c r="I39" s="51"/>
    </row>
    <row r="40" spans="2:13" ht="27.75" customHeight="1">
      <c r="B40" s="30"/>
      <c r="C40" s="30"/>
      <c r="H40" s="52"/>
      <c r="I40" s="52"/>
      <c r="J40" s="52"/>
      <c r="K40" s="52"/>
      <c r="L40" s="52"/>
      <c r="M40" s="52"/>
    </row>
    <row r="41" spans="2:13" ht="24.75" customHeight="1">
      <c r="B41" s="30"/>
      <c r="C41" s="30"/>
    </row>
    <row r="42" spans="2:13" ht="27" customHeight="1">
      <c r="B42" s="30"/>
      <c r="C42" s="30"/>
    </row>
    <row r="43" spans="2:13" ht="48" customHeight="1">
      <c r="B43" s="30"/>
      <c r="C43" s="30"/>
      <c r="H43" s="51"/>
    </row>
    <row r="44" spans="2:13" s="53" customFormat="1">
      <c r="B44" s="54"/>
      <c r="C44" s="55"/>
    </row>
    <row r="45" spans="2:13" s="53" customFormat="1">
      <c r="B45" s="56"/>
      <c r="C45" s="55"/>
    </row>
    <row r="46" spans="2:13" s="53" customFormat="1">
      <c r="B46" s="54"/>
      <c r="C46" s="55"/>
      <c r="D46" s="30"/>
      <c r="E46" s="30"/>
      <c r="F46" s="30"/>
      <c r="G46" s="30"/>
    </row>
    <row r="47" spans="2:13" s="53" customFormat="1">
      <c r="B47" s="54"/>
      <c r="C47" s="55"/>
      <c r="D47" s="30"/>
      <c r="E47" s="30"/>
      <c r="F47" s="30"/>
      <c r="G47" s="30"/>
    </row>
    <row r="48" spans="2:13" s="53" customFormat="1">
      <c r="B48" s="54"/>
      <c r="C48" s="55"/>
      <c r="D48" s="30"/>
      <c r="E48" s="30"/>
      <c r="F48" s="30"/>
      <c r="G48" s="30"/>
    </row>
    <row r="49" spans="2:7" s="53" customFormat="1">
      <c r="B49" s="54"/>
      <c r="C49" s="55"/>
      <c r="D49" s="30"/>
      <c r="E49" s="30"/>
      <c r="F49" s="30"/>
      <c r="G49" s="30"/>
    </row>
    <row r="50" spans="2:7" s="53" customFormat="1">
      <c r="B50" s="54"/>
      <c r="C50" s="55"/>
      <c r="D50" s="30"/>
      <c r="E50" s="30"/>
      <c r="F50" s="30"/>
      <c r="G50" s="30"/>
    </row>
    <row r="51" spans="2:7" s="53" customFormat="1">
      <c r="B51" s="54"/>
      <c r="C51" s="55"/>
      <c r="D51" s="30"/>
      <c r="E51" s="30"/>
      <c r="F51" s="30"/>
      <c r="G51" s="30"/>
    </row>
  </sheetData>
  <mergeCells count="8">
    <mergeCell ref="K1:L1"/>
    <mergeCell ref="A3:L3"/>
    <mergeCell ref="A5:A6"/>
    <mergeCell ref="B5:B6"/>
    <mergeCell ref="C5:C6"/>
    <mergeCell ref="E5:G5"/>
    <mergeCell ref="I5:J5"/>
    <mergeCell ref="K5:L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Nr 1</vt:lpstr>
      <vt:lpstr>Nr 2</vt:lpstr>
      <vt:lpstr>Nr 3</vt:lpstr>
      <vt:lpstr>Nr 4</vt:lpstr>
      <vt:lpstr>Nr 5</vt:lpstr>
      <vt:lpstr>Nr 6</vt:lpstr>
      <vt:lpstr>Nr 7</vt:lpstr>
      <vt:lpstr>'Nr 3'!Print_Area</vt:lpstr>
      <vt:lpstr>'Nr 5'!Print_Area</vt:lpstr>
      <vt:lpstr>'Nr 6'!Print_Area</vt:lpstr>
      <vt:lpstr>'Nr 7'!Print_Area</vt:lpstr>
      <vt:lpstr>'Nr 2'!Print_Titles</vt:lpstr>
      <vt:lpstr>'Nr 3'!Print_Titles</vt:lpstr>
      <vt:lpstr>'Nr 4'!Print_Titles</vt:lpstr>
      <vt:lpstr>'Nr 6'!Print_Titles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2013-01-29T11:37:49Z</dcterms:modified>
</cp:coreProperties>
</file>