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sakaviciene\Desktop\seni dokumentai\2026 m sprendimai\2026-10-30 Tarybos posėdis\Biudžetas\Lyginamasis variantas\"/>
    </mc:Choice>
  </mc:AlternateContent>
  <xr:revisionPtr revIDLastSave="0" documentId="13_ncr:1_{F4515165-6D71-4879-8742-F7A1C96B932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 priedas" sheetId="2" r:id="rId1"/>
    <sheet name="3 priedas" sheetId="1" r:id="rId2"/>
  </sheets>
  <definedNames>
    <definedName name="_xlnm.Print_Area" localSheetId="1">'3 priedas'!$A$1:$K$246</definedName>
    <definedName name="_xlnm.Print_Titles" localSheetId="1">'3 priedas'!$11:$11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6" i="1" l="1"/>
  <c r="D151" i="1"/>
  <c r="D147" i="1" s="1"/>
  <c r="D145" i="1"/>
  <c r="D141" i="1"/>
  <c r="D170" i="1"/>
  <c r="C43" i="2"/>
  <c r="C51" i="2"/>
  <c r="H159" i="1"/>
  <c r="I159" i="1"/>
  <c r="J159" i="1"/>
  <c r="I157" i="1"/>
  <c r="J157" i="1"/>
  <c r="J151" i="1" s="1"/>
  <c r="H135" i="1"/>
  <c r="J135" i="1"/>
  <c r="E115" i="1"/>
  <c r="H117" i="1"/>
  <c r="J117" i="1"/>
  <c r="I12" i="1"/>
  <c r="J12" i="1"/>
  <c r="I14" i="1"/>
  <c r="J14" i="1"/>
  <c r="H14" i="1"/>
  <c r="C49" i="2"/>
  <c r="G170" i="1"/>
  <c r="F170" i="1"/>
  <c r="F113" i="1"/>
  <c r="F105" i="1"/>
  <c r="F99" i="1"/>
  <c r="F95" i="1"/>
  <c r="F69" i="1"/>
  <c r="F65" i="1"/>
  <c r="F61" i="1"/>
  <c r="F53" i="1"/>
  <c r="F49" i="1"/>
  <c r="D175" i="1"/>
  <c r="G173" i="1"/>
  <c r="G160" i="1"/>
  <c r="G168" i="1"/>
  <c r="G131" i="1"/>
  <c r="G117" i="1"/>
  <c r="G99" i="1"/>
  <c r="G77" i="1"/>
  <c r="G39" i="1"/>
  <c r="G35" i="1"/>
  <c r="G23" i="1"/>
  <c r="G19" i="1"/>
  <c r="G15" i="1"/>
  <c r="C45" i="2"/>
  <c r="E149" i="1"/>
  <c r="E113" i="1"/>
  <c r="E109" i="1"/>
  <c r="E105" i="1"/>
  <c r="E99" i="1"/>
  <c r="E95" i="1"/>
  <c r="E91" i="1"/>
  <c r="E85" i="1"/>
  <c r="E81" i="1"/>
  <c r="E77" i="1"/>
  <c r="E73" i="1"/>
  <c r="E69" i="1"/>
  <c r="E65" i="1"/>
  <c r="E61" i="1"/>
  <c r="E57" i="1"/>
  <c r="E49" i="1"/>
  <c r="E45" i="1"/>
  <c r="E39" i="1"/>
  <c r="E35" i="1"/>
  <c r="E31" i="1"/>
  <c r="E27" i="1"/>
  <c r="E23" i="1"/>
  <c r="E19" i="1"/>
  <c r="E15" i="1"/>
  <c r="F171" i="1"/>
  <c r="H172" i="1"/>
  <c r="H171" i="1"/>
  <c r="H169" i="1"/>
  <c r="G171" i="1"/>
  <c r="H167" i="1"/>
  <c r="I169" i="1"/>
  <c r="G87" i="1"/>
  <c r="G52" i="1"/>
  <c r="E52" i="1"/>
  <c r="E41" i="1"/>
  <c r="G94" i="1"/>
  <c r="G72" i="1"/>
  <c r="G56" i="1"/>
  <c r="G44" i="1"/>
  <c r="G30" i="1"/>
  <c r="G154" i="1"/>
  <c r="G64" i="1"/>
  <c r="E154" i="1"/>
  <c r="E87" i="1"/>
  <c r="K154" i="1"/>
  <c r="K87" i="1"/>
  <c r="K76" i="1"/>
  <c r="K64" i="1"/>
  <c r="K52" i="1"/>
  <c r="K41" i="1"/>
  <c r="K134" i="1"/>
  <c r="K116" i="1"/>
  <c r="K121" i="1"/>
  <c r="K80" i="1"/>
  <c r="F172" i="1"/>
  <c r="F156" i="1"/>
  <c r="F167" i="1"/>
  <c r="F154" i="1"/>
  <c r="F87" i="1"/>
  <c r="F76" i="1"/>
  <c r="F41" i="1"/>
  <c r="C28" i="2"/>
  <c r="C29" i="2"/>
  <c r="C27" i="2"/>
  <c r="C25" i="2"/>
  <c r="C19" i="2"/>
  <c r="K90" i="1"/>
  <c r="D159" i="1"/>
  <c r="C22" i="2"/>
  <c r="D199" i="1"/>
  <c r="D172" i="1"/>
  <c r="D137" i="1"/>
  <c r="G68" i="1"/>
  <c r="G48" i="1"/>
  <c r="G108" i="1"/>
  <c r="I237" i="1" l="1"/>
  <c r="H115" i="1"/>
  <c r="H113" i="1" s="1"/>
  <c r="J115" i="1"/>
  <c r="J113" i="1" s="1"/>
  <c r="H133" i="1"/>
  <c r="H131" i="1" s="1"/>
  <c r="J133" i="1"/>
  <c r="J131" i="1" s="1"/>
  <c r="K88" i="1"/>
  <c r="F218" i="1"/>
  <c r="F198" i="1"/>
  <c r="F182" i="1"/>
  <c r="F178" i="1"/>
  <c r="F127" i="1"/>
  <c r="F148" i="1"/>
  <c r="F101" i="1"/>
  <c r="F90" i="1"/>
  <c r="F84" i="1"/>
  <c r="F80" i="1"/>
  <c r="F72" i="1"/>
  <c r="F56" i="1"/>
  <c r="F38" i="1"/>
  <c r="F34" i="1"/>
  <c r="F30" i="1"/>
  <c r="F26" i="1"/>
  <c r="F22" i="1"/>
  <c r="F18" i="1"/>
  <c r="F14" i="1"/>
  <c r="H111" i="1" l="1"/>
  <c r="H109" i="1" s="1"/>
  <c r="J111" i="1"/>
  <c r="J109" i="1" s="1"/>
  <c r="F162" i="1"/>
  <c r="F174" i="1"/>
  <c r="H107" i="1" l="1"/>
  <c r="H105" i="1" s="1"/>
  <c r="J107" i="1"/>
  <c r="J105" i="1" s="1"/>
  <c r="F203" i="1"/>
  <c r="F213" i="1"/>
  <c r="G150" i="1"/>
  <c r="G144" i="1"/>
  <c r="G140" i="1"/>
  <c r="C54" i="2" l="1"/>
  <c r="C46" i="2"/>
  <c r="C35" i="2"/>
  <c r="C30" i="2"/>
  <c r="C26" i="2"/>
  <c r="C21" i="2"/>
  <c r="C18" i="2"/>
  <c r="C14" i="2"/>
  <c r="C11" i="2"/>
  <c r="K92" i="1"/>
  <c r="K225" i="1"/>
  <c r="K179" i="1"/>
  <c r="C10" i="2" l="1"/>
  <c r="C20" i="2"/>
  <c r="C41" i="2"/>
  <c r="E59" i="1"/>
  <c r="C39" i="2" l="1"/>
  <c r="C37" i="2"/>
  <c r="C53" i="2" l="1"/>
  <c r="C162" i="1"/>
  <c r="C141" i="1"/>
  <c r="C135" i="1"/>
  <c r="I161" i="1"/>
  <c r="I139" i="1"/>
  <c r="C161" i="1" l="1"/>
  <c r="C57" i="2"/>
  <c r="K242" i="1"/>
  <c r="C170" i="1" l="1"/>
  <c r="C230" i="1"/>
  <c r="C229" i="1"/>
  <c r="C228" i="1"/>
  <c r="C227" i="1"/>
  <c r="K226" i="1"/>
  <c r="J226" i="1"/>
  <c r="I226" i="1"/>
  <c r="H226" i="1"/>
  <c r="G226" i="1"/>
  <c r="F226" i="1"/>
  <c r="E226" i="1"/>
  <c r="D226" i="1"/>
  <c r="C225" i="1"/>
  <c r="C224" i="1"/>
  <c r="C223" i="1"/>
  <c r="C222" i="1"/>
  <c r="K221" i="1"/>
  <c r="J221" i="1"/>
  <c r="I221" i="1"/>
  <c r="H221" i="1"/>
  <c r="G221" i="1"/>
  <c r="F221" i="1"/>
  <c r="E221" i="1"/>
  <c r="D221" i="1"/>
  <c r="C220" i="1"/>
  <c r="C219" i="1"/>
  <c r="C218" i="1"/>
  <c r="C217" i="1"/>
  <c r="K216" i="1"/>
  <c r="J216" i="1"/>
  <c r="I216" i="1"/>
  <c r="H216" i="1"/>
  <c r="G216" i="1"/>
  <c r="F216" i="1"/>
  <c r="E216" i="1"/>
  <c r="D216" i="1"/>
  <c r="C215" i="1"/>
  <c r="C214" i="1"/>
  <c r="C213" i="1"/>
  <c r="C212" i="1"/>
  <c r="K211" i="1"/>
  <c r="J211" i="1"/>
  <c r="I211" i="1"/>
  <c r="H211" i="1"/>
  <c r="G211" i="1"/>
  <c r="F211" i="1"/>
  <c r="E211" i="1"/>
  <c r="D211" i="1"/>
  <c r="C210" i="1"/>
  <c r="C209" i="1"/>
  <c r="C208" i="1"/>
  <c r="C207" i="1"/>
  <c r="K206" i="1"/>
  <c r="J206" i="1"/>
  <c r="I206" i="1"/>
  <c r="H206" i="1"/>
  <c r="G206" i="1"/>
  <c r="F206" i="1"/>
  <c r="E206" i="1"/>
  <c r="D206" i="1"/>
  <c r="C205" i="1"/>
  <c r="C204" i="1"/>
  <c r="C203" i="1"/>
  <c r="C202" i="1"/>
  <c r="K201" i="1"/>
  <c r="J201" i="1"/>
  <c r="I201" i="1"/>
  <c r="H201" i="1"/>
  <c r="G201" i="1"/>
  <c r="F201" i="1"/>
  <c r="E201" i="1"/>
  <c r="D201" i="1"/>
  <c r="C200" i="1"/>
  <c r="C199" i="1"/>
  <c r="C198" i="1"/>
  <c r="C197" i="1"/>
  <c r="C196" i="1"/>
  <c r="K195" i="1"/>
  <c r="J195" i="1"/>
  <c r="I195" i="1"/>
  <c r="H195" i="1"/>
  <c r="G195" i="1"/>
  <c r="F195" i="1"/>
  <c r="E195" i="1"/>
  <c r="D195" i="1"/>
  <c r="C194" i="1"/>
  <c r="C193" i="1"/>
  <c r="C192" i="1"/>
  <c r="C191" i="1"/>
  <c r="K190" i="1"/>
  <c r="J190" i="1"/>
  <c r="I190" i="1"/>
  <c r="H190" i="1"/>
  <c r="G190" i="1"/>
  <c r="F190" i="1"/>
  <c r="E190" i="1"/>
  <c r="D190" i="1"/>
  <c r="C189" i="1"/>
  <c r="C188" i="1"/>
  <c r="C187" i="1"/>
  <c r="C186" i="1"/>
  <c r="K185" i="1"/>
  <c r="J185" i="1"/>
  <c r="I185" i="1"/>
  <c r="H185" i="1"/>
  <c r="G185" i="1"/>
  <c r="F185" i="1"/>
  <c r="E185" i="1"/>
  <c r="D185" i="1"/>
  <c r="C184" i="1"/>
  <c r="C183" i="1"/>
  <c r="C182" i="1"/>
  <c r="C181" i="1"/>
  <c r="K180" i="1"/>
  <c r="J180" i="1"/>
  <c r="I180" i="1"/>
  <c r="H180" i="1"/>
  <c r="G180" i="1"/>
  <c r="F180" i="1"/>
  <c r="E180" i="1"/>
  <c r="D180" i="1"/>
  <c r="C179" i="1"/>
  <c r="C178" i="1"/>
  <c r="C177" i="1"/>
  <c r="K176" i="1"/>
  <c r="J176" i="1"/>
  <c r="I176" i="1"/>
  <c r="H176" i="1"/>
  <c r="G176" i="1"/>
  <c r="F176" i="1"/>
  <c r="E176" i="1"/>
  <c r="D176" i="1"/>
  <c r="C175" i="1"/>
  <c r="C173" i="1"/>
  <c r="C171" i="1"/>
  <c r="H165" i="1"/>
  <c r="F166" i="1"/>
  <c r="K165" i="1"/>
  <c r="J165" i="1"/>
  <c r="I165" i="1"/>
  <c r="E165" i="1"/>
  <c r="C164" i="1"/>
  <c r="K163" i="1"/>
  <c r="J163" i="1"/>
  <c r="H163" i="1"/>
  <c r="G163" i="1"/>
  <c r="F163" i="1"/>
  <c r="E163" i="1"/>
  <c r="D163" i="1"/>
  <c r="K161" i="1"/>
  <c r="J161" i="1"/>
  <c r="H161" i="1"/>
  <c r="G161" i="1"/>
  <c r="F161" i="1"/>
  <c r="E161" i="1"/>
  <c r="D161" i="1"/>
  <c r="C160" i="1"/>
  <c r="K157" i="1"/>
  <c r="H157" i="1"/>
  <c r="G158" i="1"/>
  <c r="F157" i="1"/>
  <c r="E157" i="1"/>
  <c r="D157" i="1"/>
  <c r="C156" i="1"/>
  <c r="C154" i="1"/>
  <c r="K153" i="1"/>
  <c r="J153" i="1"/>
  <c r="H153" i="1"/>
  <c r="G153" i="1"/>
  <c r="F153" i="1"/>
  <c r="E153" i="1"/>
  <c r="D153" i="1"/>
  <c r="K146" i="1"/>
  <c r="G146" i="1"/>
  <c r="F146" i="1"/>
  <c r="E147" i="1"/>
  <c r="C145" i="1"/>
  <c r="K142" i="1"/>
  <c r="G142" i="1"/>
  <c r="F142" i="1"/>
  <c r="D143" i="1"/>
  <c r="C139" i="1"/>
  <c r="K138" i="1"/>
  <c r="J139" i="1"/>
  <c r="H139" i="1"/>
  <c r="G138" i="1"/>
  <c r="F138" i="1"/>
  <c r="E138" i="1"/>
  <c r="D139" i="1"/>
  <c r="C137" i="1"/>
  <c r="K136" i="1"/>
  <c r="J136" i="1"/>
  <c r="H136" i="1"/>
  <c r="G136" i="1"/>
  <c r="F136" i="1"/>
  <c r="E136" i="1"/>
  <c r="D136" i="1"/>
  <c r="C133" i="1"/>
  <c r="K132" i="1"/>
  <c r="G133" i="1"/>
  <c r="F132" i="1"/>
  <c r="E133" i="1"/>
  <c r="D133" i="1"/>
  <c r="C131" i="1"/>
  <c r="K128" i="1"/>
  <c r="J129" i="1"/>
  <c r="H129" i="1"/>
  <c r="G129" i="1"/>
  <c r="F128" i="1"/>
  <c r="E129" i="1"/>
  <c r="D129" i="1"/>
  <c r="C127" i="1"/>
  <c r="K126" i="1"/>
  <c r="J126" i="1"/>
  <c r="H126" i="1"/>
  <c r="G126" i="1"/>
  <c r="F126" i="1"/>
  <c r="E126" i="1"/>
  <c r="D126" i="1"/>
  <c r="C125" i="1"/>
  <c r="K124" i="1"/>
  <c r="J124" i="1"/>
  <c r="H124" i="1"/>
  <c r="G124" i="1"/>
  <c r="F124" i="1"/>
  <c r="E124" i="1"/>
  <c r="D124" i="1"/>
  <c r="C123" i="1"/>
  <c r="K122" i="1"/>
  <c r="J122" i="1"/>
  <c r="H122" i="1"/>
  <c r="G122" i="1"/>
  <c r="F122" i="1"/>
  <c r="E122" i="1"/>
  <c r="D122" i="1"/>
  <c r="C121" i="1"/>
  <c r="K120" i="1"/>
  <c r="J120" i="1"/>
  <c r="H120" i="1"/>
  <c r="G120" i="1"/>
  <c r="F120" i="1"/>
  <c r="E120" i="1"/>
  <c r="D120" i="1"/>
  <c r="C119" i="1"/>
  <c r="J118" i="1"/>
  <c r="H118" i="1"/>
  <c r="G118" i="1"/>
  <c r="F118" i="1"/>
  <c r="E118" i="1"/>
  <c r="D118" i="1"/>
  <c r="C117" i="1"/>
  <c r="K114" i="1"/>
  <c r="G115" i="1"/>
  <c r="F114" i="1"/>
  <c r="D115" i="1"/>
  <c r="C112" i="1"/>
  <c r="K110" i="1"/>
  <c r="G110" i="1"/>
  <c r="F111" i="1"/>
  <c r="E111" i="1"/>
  <c r="D111" i="1"/>
  <c r="C109" i="1"/>
  <c r="K106" i="1"/>
  <c r="G106" i="1"/>
  <c r="F106" i="1"/>
  <c r="E107" i="1"/>
  <c r="D107" i="1"/>
  <c r="C104" i="1"/>
  <c r="K102" i="1"/>
  <c r="J103" i="1"/>
  <c r="H103" i="1"/>
  <c r="G102" i="1"/>
  <c r="F103" i="1"/>
  <c r="E103" i="1"/>
  <c r="D103" i="1"/>
  <c r="C101" i="1"/>
  <c r="K100" i="1"/>
  <c r="J100" i="1"/>
  <c r="H100" i="1"/>
  <c r="G100" i="1"/>
  <c r="F100" i="1"/>
  <c r="E100" i="1"/>
  <c r="D100" i="1"/>
  <c r="C99" i="1"/>
  <c r="K96" i="1"/>
  <c r="G97" i="1"/>
  <c r="F97" i="1"/>
  <c r="E97" i="1"/>
  <c r="C95" i="1"/>
  <c r="G92" i="1"/>
  <c r="F93" i="1"/>
  <c r="E93" i="1"/>
  <c r="C91" i="1"/>
  <c r="J89" i="1"/>
  <c r="H89" i="1"/>
  <c r="G88" i="1"/>
  <c r="F88" i="1"/>
  <c r="E89" i="1"/>
  <c r="D89" i="1"/>
  <c r="C87" i="1"/>
  <c r="K86" i="1"/>
  <c r="J86" i="1"/>
  <c r="H86" i="1"/>
  <c r="G86" i="1"/>
  <c r="F86" i="1"/>
  <c r="E86" i="1"/>
  <c r="D86" i="1"/>
  <c r="C85" i="1"/>
  <c r="K82" i="1"/>
  <c r="G82" i="1"/>
  <c r="F82" i="1"/>
  <c r="E83" i="1"/>
  <c r="C81" i="1"/>
  <c r="K78" i="1"/>
  <c r="G78" i="1"/>
  <c r="F78" i="1"/>
  <c r="E79" i="1"/>
  <c r="C77" i="1"/>
  <c r="K74" i="1"/>
  <c r="G75" i="1"/>
  <c r="F74" i="1"/>
  <c r="E75" i="1"/>
  <c r="C73" i="1"/>
  <c r="K70" i="1"/>
  <c r="G70" i="1"/>
  <c r="F70" i="1"/>
  <c r="E71" i="1"/>
  <c r="C69" i="1"/>
  <c r="K66" i="1"/>
  <c r="G66" i="1"/>
  <c r="F67" i="1"/>
  <c r="E67" i="1"/>
  <c r="C65" i="1"/>
  <c r="K62" i="1"/>
  <c r="G62" i="1"/>
  <c r="F63" i="1"/>
  <c r="E63" i="1"/>
  <c r="C61" i="1"/>
  <c r="K58" i="1"/>
  <c r="G58" i="1"/>
  <c r="F59" i="1"/>
  <c r="C57" i="1"/>
  <c r="K54" i="1"/>
  <c r="G54" i="1"/>
  <c r="F54" i="1"/>
  <c r="E55" i="1"/>
  <c r="C53" i="1"/>
  <c r="K50" i="1"/>
  <c r="G50" i="1"/>
  <c r="F51" i="1"/>
  <c r="E50" i="1"/>
  <c r="C49" i="1"/>
  <c r="K46" i="1"/>
  <c r="G46" i="1"/>
  <c r="F47" i="1"/>
  <c r="E47" i="1"/>
  <c r="C45" i="1"/>
  <c r="K42" i="1"/>
  <c r="J43" i="1"/>
  <c r="H43" i="1"/>
  <c r="G42" i="1"/>
  <c r="F42" i="1"/>
  <c r="E43" i="1"/>
  <c r="D43" i="1"/>
  <c r="G40" i="1"/>
  <c r="K40" i="1"/>
  <c r="J40" i="1"/>
  <c r="H40" i="1"/>
  <c r="F40" i="1"/>
  <c r="E40" i="1"/>
  <c r="D40" i="1"/>
  <c r="C39" i="1"/>
  <c r="K36" i="1"/>
  <c r="G37" i="1"/>
  <c r="F36" i="1"/>
  <c r="E37" i="1"/>
  <c r="C35" i="1"/>
  <c r="K32" i="1"/>
  <c r="F32" i="1"/>
  <c r="E33" i="1"/>
  <c r="C31" i="1"/>
  <c r="K28" i="1"/>
  <c r="G28" i="1"/>
  <c r="F28" i="1"/>
  <c r="E29" i="1"/>
  <c r="C27" i="1"/>
  <c r="K24" i="1"/>
  <c r="G24" i="1"/>
  <c r="F24" i="1"/>
  <c r="E25" i="1"/>
  <c r="C23" i="1"/>
  <c r="K20" i="1"/>
  <c r="G21" i="1"/>
  <c r="F20" i="1"/>
  <c r="E21" i="1"/>
  <c r="C19" i="1"/>
  <c r="K16" i="1"/>
  <c r="J17" i="1"/>
  <c r="H17" i="1"/>
  <c r="G17" i="1"/>
  <c r="F16" i="1"/>
  <c r="E17" i="1"/>
  <c r="D17" i="1"/>
  <c r="C15" i="1"/>
  <c r="K12" i="1"/>
  <c r="H12" i="1"/>
  <c r="F12" i="1"/>
  <c r="E13" i="1"/>
  <c r="D12" i="1"/>
  <c r="H151" i="1" l="1"/>
  <c r="J149" i="1"/>
  <c r="H149" i="1"/>
  <c r="C163" i="1"/>
  <c r="C158" i="1"/>
  <c r="C143" i="1"/>
  <c r="C136" i="1"/>
  <c r="C129" i="1"/>
  <c r="C126" i="1"/>
  <c r="C124" i="1"/>
  <c r="C122" i="1"/>
  <c r="C120" i="1"/>
  <c r="C118" i="1"/>
  <c r="C115" i="1"/>
  <c r="C110" i="1"/>
  <c r="C107" i="1"/>
  <c r="C102" i="1"/>
  <c r="C100" i="1"/>
  <c r="C97" i="1"/>
  <c r="C93" i="1"/>
  <c r="C89" i="1"/>
  <c r="C86" i="1"/>
  <c r="C83" i="1"/>
  <c r="C79" i="1"/>
  <c r="C75" i="1"/>
  <c r="C71" i="1"/>
  <c r="C67" i="1"/>
  <c r="C63" i="1"/>
  <c r="C59" i="1"/>
  <c r="C55" i="1"/>
  <c r="C51" i="1"/>
  <c r="C47" i="1"/>
  <c r="C43" i="1"/>
  <c r="C37" i="1"/>
  <c r="C33" i="1"/>
  <c r="C29" i="1"/>
  <c r="C25" i="1"/>
  <c r="C21" i="1"/>
  <c r="C17" i="1"/>
  <c r="C13" i="1"/>
  <c r="C176" i="1"/>
  <c r="G13" i="1"/>
  <c r="C206" i="1"/>
  <c r="C185" i="1"/>
  <c r="C226" i="1"/>
  <c r="C153" i="1"/>
  <c r="C211" i="1"/>
  <c r="C221" i="1"/>
  <c r="C201" i="1"/>
  <c r="D166" i="1"/>
  <c r="D232" i="1" s="1"/>
  <c r="C216" i="1"/>
  <c r="C195" i="1"/>
  <c r="G166" i="1"/>
  <c r="C180" i="1"/>
  <c r="C190" i="1"/>
  <c r="G33" i="1"/>
  <c r="C41" i="1"/>
  <c r="C166" i="1"/>
  <c r="K118" i="1"/>
  <c r="C151" i="1" l="1"/>
  <c r="G232" i="1"/>
  <c r="J147" i="1"/>
  <c r="H147" i="1"/>
  <c r="C149" i="1"/>
  <c r="C40" i="1"/>
  <c r="G238" i="1"/>
  <c r="K237" i="1"/>
  <c r="C238" i="1" l="1"/>
  <c r="J231" i="1"/>
  <c r="H231" i="1"/>
  <c r="C147" i="1"/>
  <c r="D238" i="1"/>
  <c r="E237" i="1"/>
  <c r="F238" i="1"/>
  <c r="H237" i="1"/>
  <c r="J237" i="1"/>
  <c r="E242" i="1"/>
  <c r="F242" i="1"/>
  <c r="J242" i="1"/>
  <c r="D243" i="1"/>
  <c r="C232" i="1" l="1"/>
  <c r="D240" i="1"/>
  <c r="E240" i="1"/>
  <c r="F240" i="1"/>
  <c r="G241" i="1"/>
  <c r="H240" i="1"/>
  <c r="D239" i="1"/>
  <c r="E239" i="1"/>
  <c r="F239" i="1"/>
  <c r="G239" i="1"/>
  <c r="H239" i="1"/>
  <c r="I239" i="1"/>
  <c r="J239" i="1"/>
  <c r="K239" i="1"/>
  <c r="D235" i="1"/>
  <c r="E236" i="1"/>
  <c r="F236" i="1"/>
  <c r="G236" i="1"/>
  <c r="H235" i="1"/>
  <c r="J235" i="1"/>
  <c r="K235" i="1"/>
  <c r="C243" i="1" l="1"/>
  <c r="C239" i="1"/>
  <c r="F231" i="1"/>
  <c r="E232" i="1"/>
  <c r="K231" i="1"/>
  <c r="C241" i="1"/>
  <c r="C236" i="1"/>
</calcChain>
</file>

<file path=xl/sharedStrings.xml><?xml version="1.0" encoding="utf-8"?>
<sst xmlns="http://schemas.openxmlformats.org/spreadsheetml/2006/main" count="332" uniqueCount="233">
  <si>
    <t>Iš jų:</t>
  </si>
  <si>
    <t>Kėdainių lopšelis-darželis  „Aviliukas“</t>
  </si>
  <si>
    <t>Kėdainių lopšelis-darželis „Pasaka“</t>
  </si>
  <si>
    <t>Kėdainių lopšelis-darželis „Puriena“</t>
  </si>
  <si>
    <t>Kėdainių lopšelis-darželis „Vaikystė“</t>
  </si>
  <si>
    <t>Kėdainių lopšelis-darželis „Varpelis“</t>
  </si>
  <si>
    <t>Kėdainių lopšelis-darželis „Vyturėlis“</t>
  </si>
  <si>
    <t>Kėdainių lopšelis-darželis „Žilvitis“</t>
  </si>
  <si>
    <t>Kėdainių r. Vilainių mokykla-darželis „Obelėlė“</t>
  </si>
  <si>
    <t>Kėdainių „Atžalyno“ gimnazija</t>
  </si>
  <si>
    <t>Kėdainių šviesioji gimnazija</t>
  </si>
  <si>
    <t>Kėdainių r. Akademijos gimnazija</t>
  </si>
  <si>
    <t>Kėdainių r. Krakių Mikalojaus Katkaus gimnazija</t>
  </si>
  <si>
    <t>Kėdainių r. Šėtos gimnazija</t>
  </si>
  <si>
    <t>Lietuvos sporto universiteto Kėdainių „Aušros“ progimnazija</t>
  </si>
  <si>
    <t>Kėdainių „Ryto“ progimnazija</t>
  </si>
  <si>
    <t>Kėdainių Senamiesčio progimnazija</t>
  </si>
  <si>
    <t>Kėdainių r. Dotnuvos pagrindinė mokykla</t>
  </si>
  <si>
    <t>Kėdainių r. Labūnavos pagrindinė mokykla</t>
  </si>
  <si>
    <t>Kėdainių r. Surviliškio Vinco Svirskio pagrindinė mokykla</t>
  </si>
  <si>
    <t>Kėdainių suaugusiųjų ir jaunimo mokymo centras</t>
  </si>
  <si>
    <t>Kėdainių „Spindulio“ mokykla</t>
  </si>
  <si>
    <t>Kėdainių dailės mokykla</t>
  </si>
  <si>
    <t>Kėdainių kalbų mokykla</t>
  </si>
  <si>
    <t>Kėdainių muzikos  mokykla</t>
  </si>
  <si>
    <t>Kėdainių švietimo pagalbos tarnyba</t>
  </si>
  <si>
    <t>Kėdainių sporto centras</t>
  </si>
  <si>
    <t>Kėdainių kultūros centras</t>
  </si>
  <si>
    <t>Akademijos kultūros centras</t>
  </si>
  <si>
    <t>Josvainių kultūros centras</t>
  </si>
  <si>
    <t>Krakių kultūros centras</t>
  </si>
  <si>
    <t>Šėtos kultūros centras</t>
  </si>
  <si>
    <t>Truskavos kultūros centras</t>
  </si>
  <si>
    <t>Kėdainių rajono savivaldybės Mikalojaus Daukšos viešoji biblioteka</t>
  </si>
  <si>
    <t>Kėdainių krašto muziejus</t>
  </si>
  <si>
    <t>Kėdainių rajono savivaldybės priešgaisrinė tarnyba</t>
  </si>
  <si>
    <t>Kėdainių bendruomenės socialinis centras</t>
  </si>
  <si>
    <t>Dotnuvos slaugos namai</t>
  </si>
  <si>
    <t>Josvainių socialinis ir ugdymo centras</t>
  </si>
  <si>
    <t>Kėdainių pagalbos šeimai centras</t>
  </si>
  <si>
    <t>Kėdainių rajono savivaldybės visuomenės sveikatos biuras</t>
  </si>
  <si>
    <t xml:space="preserve">Kėdainių rajono savivaldybės administracija </t>
  </si>
  <si>
    <t>Kėdainių rajono savivaldybės administracijos Kėdainių miesto seniūnija</t>
  </si>
  <si>
    <t>Kėdainių rajono savivaldybės administracijos Dotnuvos seniūnija</t>
  </si>
  <si>
    <t>Kėdainių rajono savivaldybės administracijos Gudžiūnų seniūnija</t>
  </si>
  <si>
    <t>Kėdainių rajono savivaldybės administracijos Josvainių seniūnija</t>
  </si>
  <si>
    <t>Kėdainių rajono savivaldybės administracijos Krakių seniūnija</t>
  </si>
  <si>
    <t>Kėdainių rajono savivaldybės administracijos Pelėdnagių seniūnija</t>
  </si>
  <si>
    <t>Kėdainių rajono savivaldybės administracijos Pernaravos seniūnija</t>
  </si>
  <si>
    <t>Kėdainių rajono savivaldybės administracijos Surviliškio seniūnija</t>
  </si>
  <si>
    <t>Kėdainių rajono savivaldybės administracijos Šėtos seniūnija</t>
  </si>
  <si>
    <t>Kėdainių rajono savivaldybės administracijos Truskavos seniūnija</t>
  </si>
  <si>
    <t>Kėdainių rajono savivaldybės administracijos Vilainių seniūnija</t>
  </si>
  <si>
    <t>Kėdainių rajono savivaldybės kontrolės ir audito tarnyba</t>
  </si>
  <si>
    <t>Aisgnavimų valdytojas, programa</t>
  </si>
  <si>
    <t>01 Aktyvios visuomenės ugdymas</t>
  </si>
  <si>
    <t>02 Socialinės gerovės užtikrinimas</t>
  </si>
  <si>
    <t>03 Darnios aplinkos ir infrastruktūros plėtra</t>
  </si>
  <si>
    <t>04 Ekonomikos plėtra</t>
  </si>
  <si>
    <t>05 Savivaldybės valdymo tobulinimas</t>
  </si>
  <si>
    <t>savivaldybės biudžeto (SB)</t>
  </si>
  <si>
    <t>valstybės biudžeto (VB)</t>
  </si>
  <si>
    <t>Europos Sąjungos  (ES)</t>
  </si>
  <si>
    <t>kitos tarptautinės finansinės paramos ir bendrojo finansavimo lėšos (VB)</t>
  </si>
  <si>
    <t>skolintos lėšos (SL)</t>
  </si>
  <si>
    <t>biudžetinių įstaigų pajamos už prekes ir paslaugas (S)</t>
  </si>
  <si>
    <t>Valstybinėms (valstybės perduotoms savivaldybėms) funkcijoms atlikti  (SBVB)</t>
  </si>
  <si>
    <t>Ugdymo reikmėms finansuoti (ML)</t>
  </si>
  <si>
    <t>Iš viso asignavimų</t>
  </si>
  <si>
    <t>Savivaldybės savarankiškoms funkcijoms vykdyti:</t>
  </si>
  <si>
    <t>1</t>
  </si>
  <si>
    <t>(tūkst. Eur)</t>
  </si>
  <si>
    <t>3 priedas</t>
  </si>
  <si>
    <t>2.1</t>
  </si>
  <si>
    <t>1.1</t>
  </si>
  <si>
    <t>7.1</t>
  </si>
  <si>
    <t>9.1</t>
  </si>
  <si>
    <t>3.1</t>
  </si>
  <si>
    <t>5.1</t>
  </si>
  <si>
    <t>4.1</t>
  </si>
  <si>
    <t>6.1</t>
  </si>
  <si>
    <t>8.1</t>
  </si>
  <si>
    <t>10.1</t>
  </si>
  <si>
    <t>11.1</t>
  </si>
  <si>
    <t>12.1</t>
  </si>
  <si>
    <t>13.1</t>
  </si>
  <si>
    <t>14.1</t>
  </si>
  <si>
    <t>15.1</t>
  </si>
  <si>
    <t>16.1</t>
  </si>
  <si>
    <t>17.1</t>
  </si>
  <si>
    <t>18.1</t>
  </si>
  <si>
    <t>19.1</t>
  </si>
  <si>
    <t>20.1</t>
  </si>
  <si>
    <t>21.1</t>
  </si>
  <si>
    <t>22.1</t>
  </si>
  <si>
    <t>23.1</t>
  </si>
  <si>
    <t>24.1</t>
  </si>
  <si>
    <t>25.1</t>
  </si>
  <si>
    <t>26.1</t>
  </si>
  <si>
    <t>27.1</t>
  </si>
  <si>
    <t>41.1</t>
  </si>
  <si>
    <t>28.1</t>
  </si>
  <si>
    <t>29.1</t>
  </si>
  <si>
    <t>30.1</t>
  </si>
  <si>
    <t>31.1</t>
  </si>
  <si>
    <t>32.1</t>
  </si>
  <si>
    <t>33.1</t>
  </si>
  <si>
    <t>34.1</t>
  </si>
  <si>
    <t>35.1</t>
  </si>
  <si>
    <t>36.1</t>
  </si>
  <si>
    <t>37.1</t>
  </si>
  <si>
    <t>38.1</t>
  </si>
  <si>
    <t>49.1</t>
  </si>
  <si>
    <t>39.1</t>
  </si>
  <si>
    <t>39.2</t>
  </si>
  <si>
    <t>40.1</t>
  </si>
  <si>
    <t>40.2</t>
  </si>
  <si>
    <t>42.1</t>
  </si>
  <si>
    <t>43.1</t>
  </si>
  <si>
    <t>44.1</t>
  </si>
  <si>
    <t>44.3</t>
  </si>
  <si>
    <t>44.2</t>
  </si>
  <si>
    <t>44.4</t>
  </si>
  <si>
    <t>44.5</t>
  </si>
  <si>
    <t>45.1</t>
  </si>
  <si>
    <t>45.2</t>
  </si>
  <si>
    <t>45.3</t>
  </si>
  <si>
    <t>46.1</t>
  </si>
  <si>
    <t>46.2</t>
  </si>
  <si>
    <t>46.3</t>
  </si>
  <si>
    <t>46.4</t>
  </si>
  <si>
    <t>47.1</t>
  </si>
  <si>
    <t>47.2</t>
  </si>
  <si>
    <t>47.3</t>
  </si>
  <si>
    <t>47.4</t>
  </si>
  <si>
    <t>48.1</t>
  </si>
  <si>
    <t>48.2</t>
  </si>
  <si>
    <t>48.3</t>
  </si>
  <si>
    <t>48.4</t>
  </si>
  <si>
    <t>49.2</t>
  </si>
  <si>
    <t>49.3</t>
  </si>
  <si>
    <t>49.4</t>
  </si>
  <si>
    <t>49.5</t>
  </si>
  <si>
    <t>50.1</t>
  </si>
  <si>
    <t>50.2</t>
  </si>
  <si>
    <t>50.3</t>
  </si>
  <si>
    <t>50.4</t>
  </si>
  <si>
    <t>51.1</t>
  </si>
  <si>
    <t>51.2</t>
  </si>
  <si>
    <t>51.3</t>
  </si>
  <si>
    <t>51.4</t>
  </si>
  <si>
    <t>52.1</t>
  </si>
  <si>
    <t>52.2</t>
  </si>
  <si>
    <t>52.3</t>
  </si>
  <si>
    <t>52.4</t>
  </si>
  <si>
    <t>53.1</t>
  </si>
  <si>
    <t>53.2</t>
  </si>
  <si>
    <t>53.3</t>
  </si>
  <si>
    <t>53.4</t>
  </si>
  <si>
    <t>54.1</t>
  </si>
  <si>
    <t>54.3</t>
  </si>
  <si>
    <t>54.2</t>
  </si>
  <si>
    <t>54.4</t>
  </si>
  <si>
    <t>55.1</t>
  </si>
  <si>
    <t>55.3</t>
  </si>
  <si>
    <t>55.2</t>
  </si>
  <si>
    <t>55.4</t>
  </si>
  <si>
    <t>Eil. Nr.</t>
  </si>
  <si>
    <t>Infrastruktūros plėtros įmokos</t>
  </si>
  <si>
    <t>Mokesčiai už valstybinius gamtos išteklius</t>
  </si>
  <si>
    <t xml:space="preserve">                                                 1 priedas</t>
  </si>
  <si>
    <t xml:space="preserve"> (tūkst. Eur)</t>
  </si>
  <si>
    <t xml:space="preserve">             Pajamų pavadinimas</t>
  </si>
  <si>
    <t>Suma</t>
  </si>
  <si>
    <t xml:space="preserve"> MOKESČIAI (2+5+9)</t>
  </si>
  <si>
    <t>Pajamų ir pelno mokesčiai (3+4)</t>
  </si>
  <si>
    <t>Gyventojų pajamų mokestis pagal Lietuvos Respublikos 2025-2027 metų biudžeto patvirtinimo įstatymą</t>
  </si>
  <si>
    <t>Gyventojų pajamų mokestis iš veiklos, kuria verčiamasi turint verslo liudijimą</t>
  </si>
  <si>
    <t>Turto mokesčiai (6+7+8)</t>
  </si>
  <si>
    <t>Žemės mokestis</t>
  </si>
  <si>
    <t>Paveldimo turto mokestis</t>
  </si>
  <si>
    <t>Nekilnojamojo turto mokestis</t>
  </si>
  <si>
    <t>Prekių ir paslaugų mokesčiai (10)</t>
  </si>
  <si>
    <t>Mokestis už aplinkos teršimą</t>
  </si>
  <si>
    <t>Turto pajamos (13+14+15+16)</t>
  </si>
  <si>
    <t>Dividendai</t>
  </si>
  <si>
    <t xml:space="preserve">Nuomos mokestis už valstybinę žemę ir valstybinio vidaus  vandenų fondo vandens telkinius  </t>
  </si>
  <si>
    <t>Mokesčiai už medžiojamųjų gyvūnų išteklius</t>
  </si>
  <si>
    <t>Pajamos už prekes ir paslaugas</t>
  </si>
  <si>
    <t>Pajamos už ilgalaikio ir trumpalaikio materialiojo turto nuomą</t>
  </si>
  <si>
    <t xml:space="preserve">Įmokos už išlaikymą švietimo, socialinės apsaugos ir kitose  įstaigose </t>
  </si>
  <si>
    <t>Rinkliavos (23+24 )</t>
  </si>
  <si>
    <t>Valstybės rinkliava</t>
  </si>
  <si>
    <t>Vietinė rinkliava</t>
  </si>
  <si>
    <t>Pajamos iš baudų ir konfiskacijos</t>
  </si>
  <si>
    <t>Kitos neišvardytos pajamos</t>
  </si>
  <si>
    <t xml:space="preserve">MATERIALIOJO IR NEMATERIALIOJO TURTO REALIZAVIMO PAJAMOS </t>
  </si>
  <si>
    <t>DOTACIJOS IŠ KITŲ VALDŽIOS SEKTORIAUS  SUBJEKTŲ (30+34+35)</t>
  </si>
  <si>
    <t>Valstybinėms (perduotoms savivaldybėms) funkcijoms atlikti</t>
  </si>
  <si>
    <t>Ugdymo reikmėms finansuoti</t>
  </si>
  <si>
    <t>Kita tikslinė dotacija, iš jos:</t>
  </si>
  <si>
    <t>mokyklos specialiųjų ugdymosi poreikių turintiems mokiniams</t>
  </si>
  <si>
    <t xml:space="preserve">Valstybės biudžeto kitos dotacijos </t>
  </si>
  <si>
    <t>35</t>
  </si>
  <si>
    <t>Europos Sąjungos ir kitos tarptautinės finansinės paramos lėšos</t>
  </si>
  <si>
    <t>36</t>
  </si>
  <si>
    <t>37</t>
  </si>
  <si>
    <t>38</t>
  </si>
  <si>
    <t>Metų pradžios lėšų likutis</t>
  </si>
  <si>
    <t>39</t>
  </si>
  <si>
    <t>________________________________________________</t>
  </si>
  <si>
    <t xml:space="preserve">          KĖDAINIŲ RAJONO SAVIVALDYBĖS 2026 METŲ BIUDŽETO PAJAMOS</t>
  </si>
  <si>
    <t>KITOS PAJAMOS (12+17+22+25+26+27)</t>
  </si>
  <si>
    <t>Pajamos už prekes ir paslaugas (18+19+20)</t>
  </si>
  <si>
    <t>Iš viso (1+11+28)</t>
  </si>
  <si>
    <t>Valstybės biudžeto specialioji tikslinė dotacija (32+33+34)</t>
  </si>
  <si>
    <t xml:space="preserve">                                       IŠ VISO PAJAMŲ IR DOTACIJŲ (29+30)</t>
  </si>
  <si>
    <t xml:space="preserve">Finansinių įsipareigojimų prisiėmimas (skolinimasis) </t>
  </si>
  <si>
    <t>40</t>
  </si>
  <si>
    <t xml:space="preserve">     IŠ VISO (37+38+39)</t>
  </si>
  <si>
    <t>KĖDAINIŲ RAJONO  SAVIVALDYBĖS 2026 METŲ  BIUDŽETO ASIGNAVIMAI</t>
  </si>
  <si>
    <t>Kėdainių rajono savivaldybės 2026 m. biudžeto išlaidų planas pagal programas ir finansavimo šaltinius</t>
  </si>
  <si>
    <t>Šėtos socialinės globos namai</t>
  </si>
  <si>
    <t>Kėdainių r. Josvainių Vlado Balsio gimnazija</t>
  </si>
  <si>
    <t xml:space="preserve">    (Kėdainių rajono savivaldybės tarybos</t>
  </si>
  <si>
    <t xml:space="preserve">  </t>
  </si>
  <si>
    <t xml:space="preserve">                               (Kėdainių rajono savivaldybės tarybos</t>
  </si>
  <si>
    <t xml:space="preserve">                                                          Kėdainių rajono savivaldybės tarybos</t>
  </si>
  <si>
    <t xml:space="preserve">                                                          2026 m. vasario 20 d. sprendimo Nr. TS-36</t>
  </si>
  <si>
    <t xml:space="preserve">    2026 m. vasario 20 d. sprendimo Nr. TS-36</t>
  </si>
  <si>
    <t xml:space="preserve">    Kėdainių rajono savivaldybės tarybos</t>
  </si>
  <si>
    <t xml:space="preserve">                                                          2026 m. spalio 30 d. sprendimo Nr. TS-       redakcija)</t>
  </si>
  <si>
    <t xml:space="preserve">    2026 m. spalio 30 d. sprendimo Nr. TS-     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</si>
</sst>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;\-0.0;;"/>
    <numFmt numFmtId="166" formatCode="#,##0.0_ ;\-#,##0.0\ "/>
    <numFmt numFmtId="167" formatCode="#,##0.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color rgb="FF00B050"/>
      <name val="Times New Roman"/>
      <family val="1"/>
      <charset val="186"/>
    </font>
    <font>
      <strike/>
      <sz val="10"/>
      <name val="Times New Roman"/>
      <family val="1"/>
      <charset val="186"/>
    </font>
    <font>
      <strike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44">
    <xf numFmtId="0" fontId="0" fillId="0" borderId="0" xfId="0"/>
    <xf numFmtId="0" fontId="1" fillId="0" borderId="0" xfId="2" applyFont="1" applyAlignment="1">
      <alignment horizontal="right" vertical="center"/>
    </xf>
    <xf numFmtId="0" fontId="1" fillId="0" borderId="0" xfId="0" applyFont="1"/>
    <xf numFmtId="0" fontId="1" fillId="0" borderId="0" xfId="2" applyFont="1" applyAlignment="1">
      <alignment horizontal="right"/>
    </xf>
    <xf numFmtId="0" fontId="1" fillId="0" borderId="0" xfId="2" applyFont="1" applyAlignment="1">
      <alignment vertical="center"/>
    </xf>
    <xf numFmtId="0" fontId="1" fillId="0" borderId="0" xfId="2" applyFont="1"/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right" vertical="center"/>
    </xf>
    <xf numFmtId="0" fontId="2" fillId="0" borderId="1" xfId="2" applyFont="1" applyBorder="1" applyAlignment="1">
      <alignment vertical="center"/>
    </xf>
    <xf numFmtId="167" fontId="2" fillId="0" borderId="1" xfId="0" applyNumberFormat="1" applyFont="1" applyBorder="1"/>
    <xf numFmtId="167" fontId="1" fillId="0" borderId="0" xfId="0" applyNumberFormat="1" applyFont="1"/>
    <xf numFmtId="0" fontId="1" fillId="0" borderId="1" xfId="2" applyFont="1" applyBorder="1" applyAlignment="1">
      <alignment vertical="center" wrapText="1"/>
    </xf>
    <xf numFmtId="167" fontId="1" fillId="0" borderId="1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vertical="center"/>
    </xf>
    <xf numFmtId="0" fontId="1" fillId="0" borderId="1" xfId="2" applyFont="1" applyBorder="1" applyAlignment="1">
      <alignment vertical="center"/>
    </xf>
    <xf numFmtId="0" fontId="1" fillId="0" borderId="0" xfId="0" applyFont="1" applyAlignment="1">
      <alignment vertical="center"/>
    </xf>
    <xf numFmtId="167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164" fontId="1" fillId="0" borderId="0" xfId="0" applyNumberFormat="1" applyFont="1"/>
    <xf numFmtId="0" fontId="1" fillId="0" borderId="1" xfId="2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2" fillId="0" borderId="1" xfId="2" applyFont="1" applyBorder="1" applyAlignment="1">
      <alignment horizontal="right" vertical="center"/>
    </xf>
    <xf numFmtId="167" fontId="9" fillId="0" borderId="1" xfId="0" applyNumberFormat="1" applyFont="1" applyBorder="1" applyAlignment="1">
      <alignment vertical="center"/>
    </xf>
    <xf numFmtId="167" fontId="8" fillId="0" borderId="0" xfId="0" applyNumberFormat="1" applyFont="1"/>
    <xf numFmtId="0" fontId="8" fillId="0" borderId="0" xfId="0" applyFont="1"/>
    <xf numFmtId="167" fontId="1" fillId="0" borderId="1" xfId="0" applyNumberFormat="1" applyFont="1" applyBorder="1"/>
    <xf numFmtId="49" fontId="1" fillId="0" borderId="1" xfId="2" applyNumberFormat="1" applyFont="1" applyBorder="1" applyAlignment="1">
      <alignment horizontal="right" vertical="center"/>
    </xf>
    <xf numFmtId="0" fontId="1" fillId="0" borderId="1" xfId="0" applyFont="1" applyBorder="1"/>
    <xf numFmtId="167" fontId="2" fillId="0" borderId="0" xfId="2" applyNumberFormat="1" applyFont="1"/>
    <xf numFmtId="167" fontId="2" fillId="0" borderId="0" xfId="0" applyNumberFormat="1" applyFont="1"/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64" fontId="2" fillId="0" borderId="2" xfId="0" applyNumberFormat="1" applyFont="1" applyBorder="1" applyAlignment="1">
      <alignment vertical="center" wrapText="1"/>
    </xf>
    <xf numFmtId="166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164" fontId="2" fillId="0" borderId="2" xfId="0" applyNumberFormat="1" applyFont="1" applyBorder="1" applyAlignment="1">
      <alignment vertical="center"/>
    </xf>
    <xf numFmtId="164" fontId="2" fillId="0" borderId="2" xfId="1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vertical="center" wrapText="1"/>
    </xf>
    <xf numFmtId="164" fontId="1" fillId="0" borderId="6" xfId="0" applyNumberFormat="1" applyFont="1" applyBorder="1" applyAlignment="1">
      <alignment horizontal="left" vertical="center"/>
    </xf>
    <xf numFmtId="164" fontId="1" fillId="0" borderId="5" xfId="0" applyNumberFormat="1" applyFont="1" applyBorder="1" applyAlignment="1">
      <alignment vertical="center" wrapText="1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5" fontId="10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vertical="center"/>
    </xf>
    <xf numFmtId="166" fontId="3" fillId="0" borderId="0" xfId="0" applyNumberFormat="1" applyFont="1"/>
    <xf numFmtId="165" fontId="3" fillId="0" borderId="4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left" vertical="center"/>
    </xf>
    <xf numFmtId="164" fontId="1" fillId="0" borderId="4" xfId="0" applyNumberFormat="1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6" fontId="3" fillId="0" borderId="7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right" vertical="center"/>
    </xf>
    <xf numFmtId="166" fontId="3" fillId="0" borderId="7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left" vertical="center" wrapText="1"/>
    </xf>
    <xf numFmtId="166" fontId="5" fillId="0" borderId="4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left" vertical="center"/>
    </xf>
    <xf numFmtId="164" fontId="1" fillId="0" borderId="12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164" fontId="1" fillId="0" borderId="9" xfId="0" applyNumberFormat="1" applyFont="1" applyBorder="1" applyAlignment="1">
      <alignment horizontal="left" vertical="center"/>
    </xf>
    <xf numFmtId="164" fontId="1" fillId="0" borderId="5" xfId="0" applyNumberFormat="1" applyFont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165" fontId="3" fillId="0" borderId="11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left" vertical="center" wrapText="1"/>
    </xf>
    <xf numFmtId="165" fontId="3" fillId="0" borderId="4" xfId="0" applyNumberFormat="1" applyFont="1" applyBorder="1" applyAlignment="1">
      <alignment vertical="center"/>
    </xf>
    <xf numFmtId="165" fontId="3" fillId="0" borderId="7" xfId="0" applyNumberFormat="1" applyFont="1" applyBorder="1" applyAlignment="1">
      <alignment vertical="center"/>
    </xf>
    <xf numFmtId="166" fontId="3" fillId="0" borderId="4" xfId="0" applyNumberFormat="1" applyFont="1" applyBorder="1" applyAlignment="1">
      <alignment vertical="center"/>
    </xf>
    <xf numFmtId="166" fontId="3" fillId="0" borderId="7" xfId="0" applyNumberFormat="1" applyFont="1" applyBorder="1" applyAlignment="1">
      <alignment vertical="center"/>
    </xf>
    <xf numFmtId="165" fontId="3" fillId="0" borderId="4" xfId="0" applyNumberFormat="1" applyFont="1" applyBorder="1" applyAlignment="1">
      <alignment horizontal="right" vertical="center" indent="1"/>
    </xf>
    <xf numFmtId="165" fontId="3" fillId="0" borderId="7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" fillId="0" borderId="0" xfId="2" applyFont="1" applyAlignment="1">
      <alignment horizontal="center"/>
    </xf>
    <xf numFmtId="164" fontId="1" fillId="0" borderId="3" xfId="0" applyNumberFormat="1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6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9" fontId="1" fillId="0" borderId="4" xfId="2" applyNumberFormat="1" applyFont="1" applyBorder="1" applyAlignment="1">
      <alignment horizontal="right" vertical="center"/>
    </xf>
    <xf numFmtId="49" fontId="1" fillId="0" borderId="7" xfId="2" applyNumberFormat="1" applyFont="1" applyBorder="1" applyAlignment="1">
      <alignment horizontal="right" vertical="center"/>
    </xf>
    <xf numFmtId="0" fontId="2" fillId="0" borderId="4" xfId="2" applyFont="1" applyBorder="1" applyAlignment="1">
      <alignment horizontal="right" vertical="center"/>
    </xf>
    <xf numFmtId="0" fontId="2" fillId="0" borderId="7" xfId="2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2" applyFont="1" applyBorder="1" applyAlignment="1">
      <alignment horizontal="left" vertical="center"/>
    </xf>
    <xf numFmtId="0" fontId="2" fillId="0" borderId="7" xfId="2" applyFont="1" applyBorder="1" applyAlignment="1">
      <alignment horizontal="left" vertical="center"/>
    </xf>
    <xf numFmtId="0" fontId="1" fillId="0" borderId="4" xfId="2" applyFont="1" applyBorder="1" applyAlignment="1">
      <alignment horizontal="right" vertical="center"/>
    </xf>
    <xf numFmtId="0" fontId="1" fillId="0" borderId="7" xfId="2" applyFont="1" applyBorder="1" applyAlignment="1">
      <alignment horizontal="right" vertical="center"/>
    </xf>
    <xf numFmtId="0" fontId="1" fillId="0" borderId="4" xfId="2" applyFont="1" applyBorder="1" applyAlignment="1">
      <alignment horizontal="left" vertical="center"/>
    </xf>
    <xf numFmtId="0" fontId="1" fillId="0" borderId="7" xfId="2" applyFont="1" applyBorder="1" applyAlignment="1">
      <alignment horizontal="left" vertical="center"/>
    </xf>
    <xf numFmtId="0" fontId="6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2" applyFont="1" applyAlignment="1">
      <alignment horizontal="right"/>
    </xf>
    <xf numFmtId="0" fontId="2" fillId="0" borderId="0" xfId="2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3">
    <cellStyle name="Įprastas" xfId="0" builtinId="0"/>
    <cellStyle name="Įprastas 2" xfId="2" xr:uid="{46124B1D-7FDB-4EB7-978A-89F804BEE668}"/>
    <cellStyle name="Normal_Sheet1_2009 m 02 men biudzetas." xfId="1" xr:uid="{9158BFCC-BFF5-4C67-8660-176A426C54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51A60-3605-4563-9DB1-FE312A15C8DC}">
  <dimension ref="A1:G92"/>
  <sheetViews>
    <sheetView zoomScaleNormal="100" workbookViewId="0">
      <selection activeCell="F14" sqref="F14"/>
    </sheetView>
  </sheetViews>
  <sheetFormatPr defaultColWidth="9.140625" defaultRowHeight="12.75" x14ac:dyDescent="0.2"/>
  <cols>
    <col min="1" max="1" width="4.140625" style="16" customWidth="1"/>
    <col min="2" max="2" width="67.7109375" style="2" customWidth="1"/>
    <col min="3" max="3" width="14.85546875" style="2" customWidth="1"/>
    <col min="4" max="16384" width="9.140625" style="2"/>
  </cols>
  <sheetData>
    <row r="1" spans="1:7" ht="15.75" x14ac:dyDescent="0.25">
      <c r="A1" s="1"/>
      <c r="B1" s="139" t="s">
        <v>227</v>
      </c>
      <c r="C1" s="139"/>
    </row>
    <row r="2" spans="1:7" ht="15.75" x14ac:dyDescent="0.25">
      <c r="A2" s="1"/>
      <c r="B2" s="140" t="s">
        <v>228</v>
      </c>
      <c r="C2" s="140"/>
    </row>
    <row r="3" spans="1:7" ht="15.75" x14ac:dyDescent="0.25">
      <c r="A3" s="1" t="s">
        <v>225</v>
      </c>
      <c r="B3" s="143" t="s">
        <v>226</v>
      </c>
      <c r="C3" s="143"/>
    </row>
    <row r="4" spans="1:7" ht="15.75" x14ac:dyDescent="0.25">
      <c r="A4" s="1"/>
      <c r="B4" s="143" t="s">
        <v>231</v>
      </c>
      <c r="C4" s="143"/>
    </row>
    <row r="5" spans="1:7" ht="15.75" x14ac:dyDescent="0.25">
      <c r="A5" s="141" t="s">
        <v>170</v>
      </c>
      <c r="B5" s="141"/>
      <c r="C5" s="141"/>
    </row>
    <row r="6" spans="1:7" x14ac:dyDescent="0.2">
      <c r="A6" s="1"/>
      <c r="B6" s="3"/>
      <c r="C6" s="3"/>
    </row>
    <row r="7" spans="1:7" ht="15" customHeight="1" x14ac:dyDescent="0.2">
      <c r="A7" s="142" t="s">
        <v>211</v>
      </c>
      <c r="B7" s="142"/>
      <c r="C7" s="142"/>
    </row>
    <row r="8" spans="1:7" x14ac:dyDescent="0.2">
      <c r="A8" s="4"/>
      <c r="B8" s="5"/>
      <c r="C8" s="3" t="s">
        <v>171</v>
      </c>
    </row>
    <row r="9" spans="1:7" ht="25.5" x14ac:dyDescent="0.2">
      <c r="A9" s="6" t="s">
        <v>167</v>
      </c>
      <c r="B9" s="7" t="s">
        <v>172</v>
      </c>
      <c r="C9" s="7" t="s">
        <v>173</v>
      </c>
    </row>
    <row r="10" spans="1:7" x14ac:dyDescent="0.2">
      <c r="A10" s="8">
        <v>1</v>
      </c>
      <c r="B10" s="9" t="s">
        <v>174</v>
      </c>
      <c r="C10" s="10">
        <f>+C11+C14+C18</f>
        <v>61899</v>
      </c>
      <c r="G10" s="11"/>
    </row>
    <row r="11" spans="1:7" x14ac:dyDescent="0.2">
      <c r="A11" s="8">
        <v>2</v>
      </c>
      <c r="B11" s="9" t="s">
        <v>175</v>
      </c>
      <c r="C11" s="10">
        <f>+C12+C13</f>
        <v>58178</v>
      </c>
      <c r="G11" s="11"/>
    </row>
    <row r="12" spans="1:7" ht="25.5" x14ac:dyDescent="0.2">
      <c r="A12" s="8">
        <v>3</v>
      </c>
      <c r="B12" s="12" t="s">
        <v>176</v>
      </c>
      <c r="C12" s="13">
        <v>58128</v>
      </c>
      <c r="G12" s="11"/>
    </row>
    <row r="13" spans="1:7" x14ac:dyDescent="0.2">
      <c r="A13" s="8">
        <v>4</v>
      </c>
      <c r="B13" s="12" t="s">
        <v>177</v>
      </c>
      <c r="C13" s="13">
        <v>50</v>
      </c>
      <c r="G13" s="11"/>
    </row>
    <row r="14" spans="1:7" x14ac:dyDescent="0.2">
      <c r="A14" s="8">
        <v>5</v>
      </c>
      <c r="B14" s="9" t="s">
        <v>178</v>
      </c>
      <c r="C14" s="14">
        <f>+C15+C17+C16</f>
        <v>3220</v>
      </c>
      <c r="G14" s="11"/>
    </row>
    <row r="15" spans="1:7" x14ac:dyDescent="0.2">
      <c r="A15" s="8">
        <v>6</v>
      </c>
      <c r="B15" s="15" t="s">
        <v>179</v>
      </c>
      <c r="C15" s="13">
        <v>1400</v>
      </c>
      <c r="G15" s="11"/>
    </row>
    <row r="16" spans="1:7" x14ac:dyDescent="0.2">
      <c r="A16" s="8">
        <v>7</v>
      </c>
      <c r="B16" s="15" t="s">
        <v>180</v>
      </c>
      <c r="C16" s="13">
        <v>20</v>
      </c>
      <c r="G16" s="11"/>
    </row>
    <row r="17" spans="1:7" x14ac:dyDescent="0.2">
      <c r="A17" s="8">
        <v>8</v>
      </c>
      <c r="B17" s="15" t="s">
        <v>181</v>
      </c>
      <c r="C17" s="13">
        <v>1800</v>
      </c>
      <c r="G17" s="11"/>
    </row>
    <row r="18" spans="1:7" x14ac:dyDescent="0.2">
      <c r="A18" s="8">
        <v>9</v>
      </c>
      <c r="B18" s="9" t="s">
        <v>182</v>
      </c>
      <c r="C18" s="10">
        <f>+C19</f>
        <v>501</v>
      </c>
      <c r="G18" s="11"/>
    </row>
    <row r="19" spans="1:7" s="16" customFormat="1" ht="15.75" customHeight="1" x14ac:dyDescent="0.2">
      <c r="A19" s="8">
        <v>10</v>
      </c>
      <c r="B19" s="15" t="s">
        <v>183</v>
      </c>
      <c r="C19" s="13">
        <f>400+101</f>
        <v>501</v>
      </c>
      <c r="F19" s="17"/>
      <c r="G19" s="11"/>
    </row>
    <row r="20" spans="1:7" x14ac:dyDescent="0.2">
      <c r="A20" s="8">
        <v>11</v>
      </c>
      <c r="B20" s="9" t="s">
        <v>212</v>
      </c>
      <c r="C20" s="14">
        <f>C21+C26+C30+C33+C34+C35</f>
        <v>6874.6</v>
      </c>
      <c r="G20" s="11"/>
    </row>
    <row r="21" spans="1:7" x14ac:dyDescent="0.2">
      <c r="A21" s="8">
        <v>12</v>
      </c>
      <c r="B21" s="9" t="s">
        <v>184</v>
      </c>
      <c r="C21" s="14">
        <f>C23+C24+C25+C22</f>
        <v>915</v>
      </c>
      <c r="G21" s="11"/>
    </row>
    <row r="22" spans="1:7" x14ac:dyDescent="0.2">
      <c r="A22" s="8">
        <v>13</v>
      </c>
      <c r="B22" s="18" t="s">
        <v>185</v>
      </c>
      <c r="C22" s="13">
        <f>30+107</f>
        <v>137</v>
      </c>
      <c r="D22" s="19"/>
      <c r="G22" s="11"/>
    </row>
    <row r="23" spans="1:7" ht="25.5" x14ac:dyDescent="0.2">
      <c r="A23" s="8">
        <v>14</v>
      </c>
      <c r="B23" s="12" t="s">
        <v>186</v>
      </c>
      <c r="C23" s="13">
        <v>650</v>
      </c>
      <c r="G23" s="11"/>
    </row>
    <row r="24" spans="1:7" x14ac:dyDescent="0.2">
      <c r="A24" s="8">
        <v>15</v>
      </c>
      <c r="B24" s="15" t="s">
        <v>187</v>
      </c>
      <c r="C24" s="13">
        <v>55</v>
      </c>
      <c r="G24" s="11"/>
    </row>
    <row r="25" spans="1:7" x14ac:dyDescent="0.2">
      <c r="A25" s="8">
        <v>16</v>
      </c>
      <c r="B25" s="20" t="s">
        <v>169</v>
      </c>
      <c r="C25" s="13">
        <f>65+8</f>
        <v>73</v>
      </c>
      <c r="G25" s="11"/>
    </row>
    <row r="26" spans="1:7" x14ac:dyDescent="0.2">
      <c r="A26" s="8">
        <v>17</v>
      </c>
      <c r="B26" s="9" t="s">
        <v>213</v>
      </c>
      <c r="C26" s="14">
        <f>+C28+C27+C29</f>
        <v>3322.6</v>
      </c>
      <c r="G26" s="11"/>
    </row>
    <row r="27" spans="1:7" x14ac:dyDescent="0.2">
      <c r="A27" s="8">
        <v>18</v>
      </c>
      <c r="B27" s="15" t="s">
        <v>188</v>
      </c>
      <c r="C27" s="13">
        <f>412+7.2</f>
        <v>419.2</v>
      </c>
      <c r="G27" s="11"/>
    </row>
    <row r="28" spans="1:7" x14ac:dyDescent="0.2">
      <c r="A28" s="8">
        <v>19</v>
      </c>
      <c r="B28" s="15" t="s">
        <v>189</v>
      </c>
      <c r="C28" s="13">
        <f>321.5+10.2+10+0.5+0.7</f>
        <v>342.9</v>
      </c>
      <c r="G28" s="11"/>
    </row>
    <row r="29" spans="1:7" x14ac:dyDescent="0.2">
      <c r="A29" s="8">
        <v>20</v>
      </c>
      <c r="B29" s="15" t="s">
        <v>190</v>
      </c>
      <c r="C29" s="13">
        <f>2560.1-2.6+3</f>
        <v>2560.5</v>
      </c>
      <c r="G29" s="11"/>
    </row>
    <row r="30" spans="1:7" x14ac:dyDescent="0.2">
      <c r="A30" s="8">
        <v>22</v>
      </c>
      <c r="B30" s="9" t="s">
        <v>191</v>
      </c>
      <c r="C30" s="10">
        <f>+C31+C32</f>
        <v>2450</v>
      </c>
      <c r="G30" s="11"/>
    </row>
    <row r="31" spans="1:7" x14ac:dyDescent="0.2">
      <c r="A31" s="8">
        <v>23</v>
      </c>
      <c r="B31" s="15" t="s">
        <v>192</v>
      </c>
      <c r="C31" s="13">
        <v>50</v>
      </c>
      <c r="G31" s="11"/>
    </row>
    <row r="32" spans="1:7" x14ac:dyDescent="0.2">
      <c r="A32" s="8">
        <v>24</v>
      </c>
      <c r="B32" s="15" t="s">
        <v>193</v>
      </c>
      <c r="C32" s="13">
        <v>2400</v>
      </c>
      <c r="G32" s="11"/>
    </row>
    <row r="33" spans="1:7" x14ac:dyDescent="0.2">
      <c r="A33" s="8">
        <v>25</v>
      </c>
      <c r="B33" s="9" t="s">
        <v>168</v>
      </c>
      <c r="C33" s="14">
        <v>55</v>
      </c>
      <c r="G33" s="11"/>
    </row>
    <row r="34" spans="1:7" x14ac:dyDescent="0.2">
      <c r="A34" s="8">
        <v>26</v>
      </c>
      <c r="B34" s="9" t="s">
        <v>194</v>
      </c>
      <c r="C34" s="14">
        <v>50</v>
      </c>
      <c r="G34" s="11"/>
    </row>
    <row r="35" spans="1:7" x14ac:dyDescent="0.2">
      <c r="A35" s="8">
        <v>27</v>
      </c>
      <c r="B35" s="9" t="s">
        <v>195</v>
      </c>
      <c r="C35" s="14">
        <f>62+20</f>
        <v>82</v>
      </c>
      <c r="G35" s="11"/>
    </row>
    <row r="36" spans="1:7" x14ac:dyDescent="0.2">
      <c r="A36" s="8">
        <v>28</v>
      </c>
      <c r="B36" s="21" t="s">
        <v>196</v>
      </c>
      <c r="C36" s="14">
        <v>314</v>
      </c>
      <c r="D36" s="11"/>
      <c r="E36" s="11"/>
      <c r="G36" s="11"/>
    </row>
    <row r="37" spans="1:7" s="16" customFormat="1" x14ac:dyDescent="0.2">
      <c r="A37" s="8">
        <v>29</v>
      </c>
      <c r="B37" s="22" t="s">
        <v>214</v>
      </c>
      <c r="C37" s="14">
        <f>+C10+C20+C36</f>
        <v>69087.600000000006</v>
      </c>
      <c r="F37" s="17"/>
      <c r="G37" s="11"/>
    </row>
    <row r="38" spans="1:7" s="16" customFormat="1" x14ac:dyDescent="0.2">
      <c r="A38" s="135">
        <v>30</v>
      </c>
      <c r="B38" s="133" t="s">
        <v>197</v>
      </c>
      <c r="C38" s="23">
        <v>53369.7</v>
      </c>
      <c r="F38" s="17"/>
      <c r="G38" s="11"/>
    </row>
    <row r="39" spans="1:7" s="16" customFormat="1" x14ac:dyDescent="0.2">
      <c r="A39" s="136"/>
      <c r="B39" s="134"/>
      <c r="C39" s="14">
        <f>+C41+C49+C51</f>
        <v>53887.5</v>
      </c>
      <c r="E39" s="24"/>
      <c r="F39" s="17"/>
      <c r="G39" s="11"/>
    </row>
    <row r="40" spans="1:7" s="16" customFormat="1" x14ac:dyDescent="0.2">
      <c r="A40" s="135">
        <v>31</v>
      </c>
      <c r="B40" s="123" t="s">
        <v>215</v>
      </c>
      <c r="C40" s="23">
        <v>37532.800000000003</v>
      </c>
      <c r="F40" s="17"/>
      <c r="G40" s="11"/>
    </row>
    <row r="41" spans="1:7" s="16" customFormat="1" x14ac:dyDescent="0.2">
      <c r="A41" s="136"/>
      <c r="B41" s="124"/>
      <c r="C41" s="14">
        <f>+C43+C45+C46</f>
        <v>37868.5</v>
      </c>
      <c r="E41" s="24"/>
      <c r="F41" s="17"/>
      <c r="G41" s="11"/>
    </row>
    <row r="42" spans="1:7" s="16" customFormat="1" x14ac:dyDescent="0.2">
      <c r="A42" s="135">
        <v>32</v>
      </c>
      <c r="B42" s="137" t="s">
        <v>198</v>
      </c>
      <c r="C42" s="23">
        <v>7966.5</v>
      </c>
      <c r="F42" s="17"/>
      <c r="G42" s="11"/>
    </row>
    <row r="43" spans="1:7" x14ac:dyDescent="0.2">
      <c r="A43" s="136"/>
      <c r="B43" s="138"/>
      <c r="C43" s="14">
        <f>7998.6+29.6-7.4-56.3+2+400+5.2+150</f>
        <v>8521.7000000000007</v>
      </c>
      <c r="E43" s="24"/>
      <c r="G43" s="11"/>
    </row>
    <row r="44" spans="1:7" x14ac:dyDescent="0.2">
      <c r="A44" s="135">
        <v>33</v>
      </c>
      <c r="B44" s="137" t="s">
        <v>199</v>
      </c>
      <c r="C44" s="23">
        <v>28783.1</v>
      </c>
      <c r="E44" s="25"/>
      <c r="G44" s="11"/>
    </row>
    <row r="45" spans="1:7" x14ac:dyDescent="0.2">
      <c r="A45" s="136"/>
      <c r="B45" s="138"/>
      <c r="C45" s="14">
        <f>28783.1-219.5</f>
        <v>28563.599999999999</v>
      </c>
      <c r="E45" s="24"/>
      <c r="G45" s="11"/>
    </row>
    <row r="46" spans="1:7" ht="12.6" customHeight="1" x14ac:dyDescent="0.2">
      <c r="A46" s="8">
        <v>34</v>
      </c>
      <c r="B46" s="15" t="s">
        <v>200</v>
      </c>
      <c r="C46" s="26">
        <f>+C47</f>
        <v>783.2</v>
      </c>
      <c r="G46" s="11"/>
    </row>
    <row r="47" spans="1:7" ht="12.6" customHeight="1" x14ac:dyDescent="0.2">
      <c r="A47" s="27" t="s">
        <v>107</v>
      </c>
      <c r="B47" s="12" t="s">
        <v>201</v>
      </c>
      <c r="C47" s="13">
        <v>783.2</v>
      </c>
      <c r="G47" s="11"/>
    </row>
    <row r="48" spans="1:7" ht="12.6" customHeight="1" x14ac:dyDescent="0.2">
      <c r="A48" s="125" t="s">
        <v>203</v>
      </c>
      <c r="B48" s="123" t="s">
        <v>202</v>
      </c>
      <c r="C48" s="23">
        <v>9338.5</v>
      </c>
      <c r="G48" s="11"/>
    </row>
    <row r="49" spans="1:7" x14ac:dyDescent="0.2">
      <c r="A49" s="126"/>
      <c r="B49" s="124"/>
      <c r="C49" s="14">
        <f>5453.4+271.8+602+162.2+536.7+108.6+230.1+1973.7+62.1</f>
        <v>9400.6</v>
      </c>
      <c r="E49" s="24"/>
      <c r="G49" s="11"/>
    </row>
    <row r="50" spans="1:7" x14ac:dyDescent="0.2">
      <c r="A50" s="125" t="s">
        <v>205</v>
      </c>
      <c r="B50" s="131" t="s">
        <v>204</v>
      </c>
      <c r="C50" s="23">
        <v>6498.4</v>
      </c>
      <c r="E50" s="24"/>
      <c r="G50" s="11"/>
    </row>
    <row r="51" spans="1:7" x14ac:dyDescent="0.2">
      <c r="A51" s="126"/>
      <c r="B51" s="132"/>
      <c r="C51" s="10">
        <f>6816.4-380-100-10-5+177+120</f>
        <v>6618.4</v>
      </c>
      <c r="E51" s="24"/>
      <c r="G51" s="11"/>
    </row>
    <row r="52" spans="1:7" x14ac:dyDescent="0.2">
      <c r="A52" s="125" t="s">
        <v>206</v>
      </c>
      <c r="B52" s="127" t="s">
        <v>216</v>
      </c>
      <c r="C52" s="23">
        <v>122457.3</v>
      </c>
      <c r="G52" s="11"/>
    </row>
    <row r="53" spans="1:7" x14ac:dyDescent="0.2">
      <c r="A53" s="126"/>
      <c r="B53" s="128"/>
      <c r="C53" s="14">
        <f>+C37+C39</f>
        <v>122975.1</v>
      </c>
      <c r="E53" s="24"/>
      <c r="G53" s="11"/>
    </row>
    <row r="54" spans="1:7" ht="12.6" customHeight="1" x14ac:dyDescent="0.2">
      <c r="A54" s="27" t="s">
        <v>207</v>
      </c>
      <c r="B54" s="28" t="s">
        <v>217</v>
      </c>
      <c r="C54" s="26">
        <f>2233+992.2+1150</f>
        <v>4375.2</v>
      </c>
      <c r="G54" s="11"/>
    </row>
    <row r="55" spans="1:7" ht="12.6" customHeight="1" x14ac:dyDescent="0.2">
      <c r="A55" s="27" t="s">
        <v>209</v>
      </c>
      <c r="B55" s="28" t="s">
        <v>208</v>
      </c>
      <c r="C55" s="13">
        <v>7448</v>
      </c>
      <c r="G55" s="11"/>
    </row>
    <row r="56" spans="1:7" x14ac:dyDescent="0.2">
      <c r="A56" s="125" t="s">
        <v>218</v>
      </c>
      <c r="B56" s="129" t="s">
        <v>219</v>
      </c>
      <c r="C56" s="23">
        <v>134280.5</v>
      </c>
      <c r="G56" s="11"/>
    </row>
    <row r="57" spans="1:7" x14ac:dyDescent="0.2">
      <c r="A57" s="126"/>
      <c r="B57" s="130"/>
      <c r="C57" s="10">
        <f>+C53+C54+C55</f>
        <v>134798.29999999999</v>
      </c>
      <c r="E57" s="24"/>
      <c r="G57" s="11"/>
    </row>
    <row r="58" spans="1:7" ht="12.6" customHeight="1" x14ac:dyDescent="0.2">
      <c r="A58" s="4"/>
      <c r="B58" s="3" t="s">
        <v>210</v>
      </c>
      <c r="C58" s="29"/>
    </row>
    <row r="59" spans="1:7" ht="12.6" customHeight="1" x14ac:dyDescent="0.2">
      <c r="A59" s="4"/>
      <c r="B59" s="3"/>
      <c r="C59" s="30"/>
    </row>
    <row r="60" spans="1:7" ht="12.6" customHeight="1" x14ac:dyDescent="0.2">
      <c r="A60" s="4"/>
      <c r="B60" s="3"/>
      <c r="C60" s="30"/>
    </row>
    <row r="61" spans="1:7" ht="12.6" customHeight="1" x14ac:dyDescent="0.2">
      <c r="B61" s="31"/>
    </row>
    <row r="62" spans="1:7" ht="12.6" customHeight="1" x14ac:dyDescent="0.2">
      <c r="B62" s="31"/>
      <c r="C62" s="30"/>
      <c r="G62" s="11"/>
    </row>
    <row r="63" spans="1:7" ht="12.6" customHeight="1" x14ac:dyDescent="0.2">
      <c r="B63" s="31"/>
      <c r="C63" s="30"/>
    </row>
    <row r="64" spans="1:7" ht="12.6" customHeight="1" x14ac:dyDescent="0.2">
      <c r="B64" s="31"/>
      <c r="C64" s="30"/>
    </row>
    <row r="65" spans="2:3" ht="12.6" customHeight="1" x14ac:dyDescent="0.2">
      <c r="B65" s="31"/>
      <c r="C65" s="11"/>
    </row>
    <row r="66" spans="2:3" ht="12.6" customHeight="1" x14ac:dyDescent="0.2">
      <c r="B66" s="31"/>
      <c r="C66" s="11"/>
    </row>
    <row r="67" spans="2:3" ht="12.6" customHeight="1" x14ac:dyDescent="0.2">
      <c r="B67" s="31"/>
      <c r="C67" s="30"/>
    </row>
    <row r="68" spans="2:3" ht="12.6" customHeight="1" x14ac:dyDescent="0.2">
      <c r="B68" s="31"/>
      <c r="C68" s="30"/>
    </row>
    <row r="69" spans="2:3" x14ac:dyDescent="0.2">
      <c r="B69" s="31"/>
      <c r="C69" s="30"/>
    </row>
    <row r="70" spans="2:3" x14ac:dyDescent="0.2">
      <c r="C70" s="30"/>
    </row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</sheetData>
  <mergeCells count="22">
    <mergeCell ref="B1:C1"/>
    <mergeCell ref="B2:C2"/>
    <mergeCell ref="A5:C5"/>
    <mergeCell ref="A7:C7"/>
    <mergeCell ref="B3:C3"/>
    <mergeCell ref="B4:C4"/>
    <mergeCell ref="B38:B39"/>
    <mergeCell ref="A38:A39"/>
    <mergeCell ref="B40:B41"/>
    <mergeCell ref="B42:B43"/>
    <mergeCell ref="B44:B45"/>
    <mergeCell ref="A40:A41"/>
    <mergeCell ref="A42:A43"/>
    <mergeCell ref="A44:A45"/>
    <mergeCell ref="B48:B49"/>
    <mergeCell ref="A48:A49"/>
    <mergeCell ref="B52:B53"/>
    <mergeCell ref="B56:B57"/>
    <mergeCell ref="A52:A53"/>
    <mergeCell ref="A56:A57"/>
    <mergeCell ref="B50:B51"/>
    <mergeCell ref="A50:A51"/>
  </mergeCells>
  <pageMargins left="0.51181102362204722" right="0.31496062992125984" top="0.74803149606299213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8"/>
  <sheetViews>
    <sheetView tabSelected="1" zoomScaleNormal="100" workbookViewId="0">
      <selection activeCell="Q9" sqref="Q9"/>
    </sheetView>
  </sheetViews>
  <sheetFormatPr defaultColWidth="9.140625" defaultRowHeight="12.75" x14ac:dyDescent="0.2"/>
  <cols>
    <col min="1" max="1" width="4.42578125" style="32" customWidth="1"/>
    <col min="2" max="2" width="35.42578125" style="32" customWidth="1"/>
    <col min="3" max="3" width="10.7109375" style="32" customWidth="1"/>
    <col min="4" max="4" width="12.85546875" style="32" customWidth="1"/>
    <col min="5" max="5" width="10.5703125" style="32" customWidth="1"/>
    <col min="6" max="6" width="11" style="32" customWidth="1"/>
    <col min="7" max="9" width="10.5703125" style="32" customWidth="1"/>
    <col min="10" max="10" width="10.140625" style="32" customWidth="1"/>
    <col min="11" max="11" width="10.5703125" style="32" customWidth="1"/>
    <col min="12" max="16384" width="9.140625" style="32"/>
  </cols>
  <sheetData>
    <row r="1" spans="1:11" ht="15.75" x14ac:dyDescent="0.2">
      <c r="G1" s="100" t="s">
        <v>230</v>
      </c>
      <c r="H1" s="100"/>
      <c r="I1" s="100"/>
      <c r="J1" s="100"/>
      <c r="K1" s="100"/>
    </row>
    <row r="2" spans="1:11" ht="15.75" x14ac:dyDescent="0.2">
      <c r="G2" s="100" t="s">
        <v>229</v>
      </c>
      <c r="H2" s="100"/>
      <c r="I2" s="100"/>
      <c r="J2" s="100"/>
      <c r="K2" s="100"/>
    </row>
    <row r="3" spans="1:11" ht="15.75" x14ac:dyDescent="0.2">
      <c r="G3" s="100" t="s">
        <v>224</v>
      </c>
      <c r="H3" s="100"/>
      <c r="I3" s="100"/>
      <c r="J3" s="100"/>
      <c r="K3" s="100"/>
    </row>
    <row r="4" spans="1:11" ht="15.75" x14ac:dyDescent="0.2">
      <c r="G4" s="106" t="s">
        <v>232</v>
      </c>
      <c r="H4" s="106"/>
      <c r="I4" s="106"/>
      <c r="J4" s="106"/>
      <c r="K4" s="106"/>
    </row>
    <row r="5" spans="1:11" ht="15.75" x14ac:dyDescent="0.2">
      <c r="H5" s="101" t="s">
        <v>72</v>
      </c>
      <c r="I5" s="101"/>
      <c r="J5" s="101"/>
      <c r="K5" s="101"/>
    </row>
    <row r="6" spans="1:11" ht="15.75" customHeight="1" x14ac:dyDescent="0.2">
      <c r="A6" s="102" t="s">
        <v>220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</row>
    <row r="7" spans="1:11" x14ac:dyDescent="0.2">
      <c r="K7" s="31" t="s">
        <v>71</v>
      </c>
    </row>
    <row r="8" spans="1:11" s="34" customFormat="1" ht="14.25" customHeight="1" x14ac:dyDescent="0.25">
      <c r="A8" s="103" t="s">
        <v>167</v>
      </c>
      <c r="B8" s="104" t="s">
        <v>54</v>
      </c>
      <c r="C8" s="104" t="s">
        <v>68</v>
      </c>
      <c r="D8" s="105" t="s">
        <v>0</v>
      </c>
      <c r="E8" s="105"/>
      <c r="F8" s="105"/>
      <c r="G8" s="105"/>
      <c r="H8" s="105"/>
      <c r="I8" s="105"/>
      <c r="J8" s="105"/>
      <c r="K8" s="105"/>
    </row>
    <row r="9" spans="1:11" s="34" customFormat="1" ht="17.25" customHeight="1" x14ac:dyDescent="0.25">
      <c r="A9" s="103"/>
      <c r="B9" s="104"/>
      <c r="C9" s="104"/>
      <c r="D9" s="104" t="s">
        <v>66</v>
      </c>
      <c r="E9" s="104" t="s">
        <v>67</v>
      </c>
      <c r="F9" s="105" t="s">
        <v>69</v>
      </c>
      <c r="G9" s="105"/>
      <c r="H9" s="105"/>
      <c r="I9" s="105"/>
      <c r="J9" s="105"/>
      <c r="K9" s="105"/>
    </row>
    <row r="10" spans="1:11" s="34" customFormat="1" ht="89.25" x14ac:dyDescent="0.25">
      <c r="A10" s="103"/>
      <c r="B10" s="104"/>
      <c r="C10" s="104"/>
      <c r="D10" s="104"/>
      <c r="E10" s="104"/>
      <c r="F10" s="33" t="s">
        <v>60</v>
      </c>
      <c r="G10" s="33" t="s">
        <v>61</v>
      </c>
      <c r="H10" s="33" t="s">
        <v>62</v>
      </c>
      <c r="I10" s="33" t="s">
        <v>63</v>
      </c>
      <c r="J10" s="33" t="s">
        <v>64</v>
      </c>
      <c r="K10" s="33" t="s">
        <v>65</v>
      </c>
    </row>
    <row r="11" spans="1:11" s="34" customFormat="1" x14ac:dyDescent="0.25">
      <c r="A11" s="35" t="s">
        <v>70</v>
      </c>
      <c r="B11" s="36">
        <v>2</v>
      </c>
      <c r="C11" s="36">
        <v>3</v>
      </c>
      <c r="D11" s="36">
        <v>4</v>
      </c>
      <c r="E11" s="36">
        <v>5</v>
      </c>
      <c r="F11" s="36">
        <v>6</v>
      </c>
      <c r="G11" s="36">
        <v>7</v>
      </c>
      <c r="H11" s="36">
        <v>8</v>
      </c>
      <c r="I11" s="36">
        <v>9</v>
      </c>
      <c r="J11" s="36">
        <v>10</v>
      </c>
      <c r="K11" s="36">
        <v>11</v>
      </c>
    </row>
    <row r="12" spans="1:11" s="34" customFormat="1" ht="15" customHeight="1" x14ac:dyDescent="0.25">
      <c r="A12" s="66">
        <v>1</v>
      </c>
      <c r="B12" s="62" t="s">
        <v>1</v>
      </c>
      <c r="C12" s="23">
        <v>1194</v>
      </c>
      <c r="D12" s="72">
        <f>+D15</f>
        <v>0</v>
      </c>
      <c r="E12" s="23">
        <v>512.1</v>
      </c>
      <c r="F12" s="60">
        <f>+F14</f>
        <v>589.5</v>
      </c>
      <c r="G12" s="23">
        <v>21.2</v>
      </c>
      <c r="H12" s="72">
        <f>+H15</f>
        <v>0</v>
      </c>
      <c r="I12" s="72">
        <f t="shared" ref="I12:J12" si="0">+I15</f>
        <v>0</v>
      </c>
      <c r="J12" s="72">
        <f t="shared" si="0"/>
        <v>0</v>
      </c>
      <c r="K12" s="98">
        <f>+K14</f>
        <v>71.2</v>
      </c>
    </row>
    <row r="13" spans="1:11" ht="13.5" customHeight="1" x14ac:dyDescent="0.2">
      <c r="A13" s="67"/>
      <c r="B13" s="63"/>
      <c r="C13" s="14">
        <f>+C15</f>
        <v>1232.5</v>
      </c>
      <c r="D13" s="73"/>
      <c r="E13" s="14">
        <f t="shared" ref="E13:G13" si="1">+E15</f>
        <v>538.70000000000005</v>
      </c>
      <c r="F13" s="61"/>
      <c r="G13" s="14">
        <f t="shared" si="1"/>
        <v>33.1</v>
      </c>
      <c r="H13" s="73"/>
      <c r="I13" s="73"/>
      <c r="J13" s="73"/>
      <c r="K13" s="99"/>
    </row>
    <row r="14" spans="1:11" ht="13.5" customHeight="1" x14ac:dyDescent="0.2">
      <c r="A14" s="68" t="s">
        <v>74</v>
      </c>
      <c r="B14" s="64" t="s">
        <v>55</v>
      </c>
      <c r="C14" s="23">
        <v>1194</v>
      </c>
      <c r="D14" s="72"/>
      <c r="E14" s="23">
        <v>512.1</v>
      </c>
      <c r="F14" s="60">
        <f>605.2-15.7</f>
        <v>589.5</v>
      </c>
      <c r="G14" s="23">
        <v>21.2</v>
      </c>
      <c r="H14" s="72">
        <f>+H19</f>
        <v>0</v>
      </c>
      <c r="I14" s="72">
        <f t="shared" ref="I14:J14" si="2">+I19</f>
        <v>0</v>
      </c>
      <c r="J14" s="72">
        <f t="shared" si="2"/>
        <v>0</v>
      </c>
      <c r="K14" s="98">
        <v>71.2</v>
      </c>
    </row>
    <row r="15" spans="1:11" ht="13.5" customHeight="1" x14ac:dyDescent="0.2">
      <c r="A15" s="69"/>
      <c r="B15" s="65"/>
      <c r="C15" s="14">
        <f>+D15+E15+F14+G15+H15+J15+K14+I15</f>
        <v>1232.5</v>
      </c>
      <c r="D15" s="73"/>
      <c r="E15" s="14">
        <f>512.1+26.6</f>
        <v>538.70000000000005</v>
      </c>
      <c r="F15" s="61"/>
      <c r="G15" s="14">
        <f>21.2+11.9</f>
        <v>33.1</v>
      </c>
      <c r="H15" s="73"/>
      <c r="I15" s="73"/>
      <c r="J15" s="73"/>
      <c r="K15" s="99"/>
    </row>
    <row r="16" spans="1:11" ht="13.5" customHeight="1" x14ac:dyDescent="0.2">
      <c r="A16" s="66">
        <v>2</v>
      </c>
      <c r="B16" s="62" t="s">
        <v>2</v>
      </c>
      <c r="C16" s="23">
        <v>1270.8</v>
      </c>
      <c r="D16" s="72"/>
      <c r="E16" s="23">
        <v>562.4</v>
      </c>
      <c r="F16" s="60">
        <f>+F18</f>
        <v>590.1</v>
      </c>
      <c r="G16" s="23">
        <v>31.3</v>
      </c>
      <c r="H16" s="72"/>
      <c r="I16" s="72"/>
      <c r="J16" s="72"/>
      <c r="K16" s="60">
        <f>+K18</f>
        <v>87</v>
      </c>
    </row>
    <row r="17" spans="1:11" ht="13.5" customHeight="1" x14ac:dyDescent="0.2">
      <c r="A17" s="67"/>
      <c r="B17" s="63"/>
      <c r="C17" s="14">
        <f>+C19</f>
        <v>1288.6000000000001</v>
      </c>
      <c r="D17" s="73">
        <f t="shared" ref="D17:H17" si="3">+D19</f>
        <v>0</v>
      </c>
      <c r="E17" s="14">
        <f t="shared" si="3"/>
        <v>577.79999999999995</v>
      </c>
      <c r="F17" s="61"/>
      <c r="G17" s="14">
        <f t="shared" si="3"/>
        <v>33.700000000000003</v>
      </c>
      <c r="H17" s="73">
        <f t="shared" si="3"/>
        <v>0</v>
      </c>
      <c r="I17" s="73"/>
      <c r="J17" s="73">
        <f t="shared" ref="J17" si="4">+J19</f>
        <v>0</v>
      </c>
      <c r="K17" s="61"/>
    </row>
    <row r="18" spans="1:11" ht="13.5" customHeight="1" x14ac:dyDescent="0.2">
      <c r="A18" s="68" t="s">
        <v>73</v>
      </c>
      <c r="B18" s="64" t="s">
        <v>55</v>
      </c>
      <c r="C18" s="23">
        <v>1270.8</v>
      </c>
      <c r="D18" s="72"/>
      <c r="E18" s="23">
        <v>562.4</v>
      </c>
      <c r="F18" s="60">
        <f>606.4-16.3</f>
        <v>590.1</v>
      </c>
      <c r="G18" s="23">
        <v>31.3</v>
      </c>
      <c r="H18" s="72"/>
      <c r="I18" s="72"/>
      <c r="J18" s="72"/>
      <c r="K18" s="60">
        <v>87</v>
      </c>
    </row>
    <row r="19" spans="1:11" ht="13.5" customHeight="1" x14ac:dyDescent="0.2">
      <c r="A19" s="69"/>
      <c r="B19" s="65"/>
      <c r="C19" s="14">
        <f>+D19+E19+F18+G19+H19+J19+K18</f>
        <v>1288.6000000000001</v>
      </c>
      <c r="D19" s="73"/>
      <c r="E19" s="14">
        <f>562.4+15.4</f>
        <v>577.79999999999995</v>
      </c>
      <c r="F19" s="61"/>
      <c r="G19" s="14">
        <f>9.5+21.8+2.4</f>
        <v>33.700000000000003</v>
      </c>
      <c r="H19" s="73"/>
      <c r="I19" s="73"/>
      <c r="J19" s="73"/>
      <c r="K19" s="61"/>
    </row>
    <row r="20" spans="1:11" ht="13.5" customHeight="1" x14ac:dyDescent="0.2">
      <c r="A20" s="66">
        <v>3</v>
      </c>
      <c r="B20" s="62" t="s">
        <v>3</v>
      </c>
      <c r="C20" s="23">
        <v>1144.9000000000001</v>
      </c>
      <c r="D20" s="72"/>
      <c r="E20" s="23">
        <v>449.4</v>
      </c>
      <c r="F20" s="60">
        <f>+F22</f>
        <v>580.9</v>
      </c>
      <c r="G20" s="23">
        <v>33.799999999999997</v>
      </c>
      <c r="H20" s="72"/>
      <c r="I20" s="72"/>
      <c r="J20" s="72"/>
      <c r="K20" s="60">
        <f>+K22</f>
        <v>80.8</v>
      </c>
    </row>
    <row r="21" spans="1:11" ht="13.5" customHeight="1" x14ac:dyDescent="0.2">
      <c r="A21" s="67"/>
      <c r="B21" s="63"/>
      <c r="C21" s="14">
        <f>+C23</f>
        <v>1180.7</v>
      </c>
      <c r="D21" s="73"/>
      <c r="E21" s="14">
        <f t="shared" ref="E21:G21" si="5">+E23</f>
        <v>475.59999999999997</v>
      </c>
      <c r="F21" s="61"/>
      <c r="G21" s="14">
        <f t="shared" si="5"/>
        <v>43.4</v>
      </c>
      <c r="H21" s="73"/>
      <c r="I21" s="73"/>
      <c r="J21" s="73"/>
      <c r="K21" s="61"/>
    </row>
    <row r="22" spans="1:11" ht="13.5" customHeight="1" x14ac:dyDescent="0.2">
      <c r="A22" s="68" t="s">
        <v>77</v>
      </c>
      <c r="B22" s="64" t="s">
        <v>55</v>
      </c>
      <c r="C22" s="23">
        <v>1144.9000000000001</v>
      </c>
      <c r="D22" s="72"/>
      <c r="E22" s="23">
        <v>449.4</v>
      </c>
      <c r="F22" s="60">
        <f>596.8-15.9</f>
        <v>580.9</v>
      </c>
      <c r="G22" s="23">
        <v>33.799999999999997</v>
      </c>
      <c r="H22" s="72"/>
      <c r="I22" s="72"/>
      <c r="J22" s="72"/>
      <c r="K22" s="60">
        <v>80.8</v>
      </c>
    </row>
    <row r="23" spans="1:11" ht="13.5" customHeight="1" x14ac:dyDescent="0.2">
      <c r="A23" s="69"/>
      <c r="B23" s="65"/>
      <c r="C23" s="14">
        <f>+D23+E23+F22+G23+H23+J23+K22</f>
        <v>1180.7</v>
      </c>
      <c r="D23" s="73"/>
      <c r="E23" s="14">
        <f>449.4+26.2</f>
        <v>475.59999999999997</v>
      </c>
      <c r="F23" s="61"/>
      <c r="G23" s="14">
        <f>9.5+21.7+2.6+9.6</f>
        <v>43.4</v>
      </c>
      <c r="H23" s="73"/>
      <c r="I23" s="73"/>
      <c r="J23" s="73"/>
      <c r="K23" s="61"/>
    </row>
    <row r="24" spans="1:11" ht="13.5" customHeight="1" x14ac:dyDescent="0.2">
      <c r="A24" s="66">
        <v>4</v>
      </c>
      <c r="B24" s="62" t="s">
        <v>4</v>
      </c>
      <c r="C24" s="23">
        <v>1387.1</v>
      </c>
      <c r="D24" s="72"/>
      <c r="E24" s="23">
        <v>672.1</v>
      </c>
      <c r="F24" s="60">
        <f>+F26</f>
        <v>588.30000000000007</v>
      </c>
      <c r="G24" s="60">
        <f>+G26</f>
        <v>22.3</v>
      </c>
      <c r="H24" s="72"/>
      <c r="I24" s="72"/>
      <c r="J24" s="72"/>
      <c r="K24" s="60">
        <f>+K26</f>
        <v>104.4</v>
      </c>
    </row>
    <row r="25" spans="1:11" ht="13.5" customHeight="1" x14ac:dyDescent="0.2">
      <c r="A25" s="67"/>
      <c r="B25" s="63"/>
      <c r="C25" s="14">
        <f>+C27</f>
        <v>1371.0000000000002</v>
      </c>
      <c r="D25" s="73"/>
      <c r="E25" s="14">
        <f t="shared" ref="E25" si="6">+E27</f>
        <v>656</v>
      </c>
      <c r="F25" s="61"/>
      <c r="G25" s="61"/>
      <c r="H25" s="73"/>
      <c r="I25" s="73"/>
      <c r="J25" s="73"/>
      <c r="K25" s="61"/>
    </row>
    <row r="26" spans="1:11" ht="13.5" customHeight="1" x14ac:dyDescent="0.2">
      <c r="A26" s="68" t="s">
        <v>79</v>
      </c>
      <c r="B26" s="64" t="s">
        <v>55</v>
      </c>
      <c r="C26" s="23">
        <v>1387.1</v>
      </c>
      <c r="D26" s="72"/>
      <c r="E26" s="23">
        <v>672.1</v>
      </c>
      <c r="F26" s="60">
        <f>604.7-16.4</f>
        <v>588.30000000000007</v>
      </c>
      <c r="G26" s="60">
        <v>22.3</v>
      </c>
      <c r="H26" s="72"/>
      <c r="I26" s="72"/>
      <c r="J26" s="72"/>
      <c r="K26" s="60">
        <v>104.4</v>
      </c>
    </row>
    <row r="27" spans="1:11" ht="13.5" customHeight="1" x14ac:dyDescent="0.2">
      <c r="A27" s="69"/>
      <c r="B27" s="65"/>
      <c r="C27" s="14">
        <f>+D27+E27+F26+G26+H27+J27+K26</f>
        <v>1371.0000000000002</v>
      </c>
      <c r="D27" s="73"/>
      <c r="E27" s="14">
        <f>672.1-16.1</f>
        <v>656</v>
      </c>
      <c r="F27" s="61"/>
      <c r="G27" s="61"/>
      <c r="H27" s="73"/>
      <c r="I27" s="73"/>
      <c r="J27" s="73"/>
      <c r="K27" s="61"/>
    </row>
    <row r="28" spans="1:11" ht="13.5" customHeight="1" x14ac:dyDescent="0.2">
      <c r="A28" s="66">
        <v>5</v>
      </c>
      <c r="B28" s="62" t="s">
        <v>5</v>
      </c>
      <c r="C28" s="23">
        <v>1380.7</v>
      </c>
      <c r="D28" s="72"/>
      <c r="E28" s="23">
        <v>628</v>
      </c>
      <c r="F28" s="60">
        <f>+F30</f>
        <v>629.9</v>
      </c>
      <c r="G28" s="60">
        <f>+G30</f>
        <v>25.7</v>
      </c>
      <c r="H28" s="72"/>
      <c r="I28" s="72"/>
      <c r="J28" s="72"/>
      <c r="K28" s="60">
        <f>+K30</f>
        <v>97.1</v>
      </c>
    </row>
    <row r="29" spans="1:11" ht="13.5" customHeight="1" x14ac:dyDescent="0.2">
      <c r="A29" s="67"/>
      <c r="B29" s="63"/>
      <c r="C29" s="14">
        <f>+C31</f>
        <v>1371.7</v>
      </c>
      <c r="D29" s="73"/>
      <c r="E29" s="14">
        <f t="shared" ref="E29" si="7">+E31</f>
        <v>619</v>
      </c>
      <c r="F29" s="61"/>
      <c r="G29" s="61"/>
      <c r="H29" s="73"/>
      <c r="I29" s="73"/>
      <c r="J29" s="73"/>
      <c r="K29" s="61"/>
    </row>
    <row r="30" spans="1:11" ht="13.5" customHeight="1" x14ac:dyDescent="0.2">
      <c r="A30" s="68" t="s">
        <v>78</v>
      </c>
      <c r="B30" s="64" t="s">
        <v>55</v>
      </c>
      <c r="C30" s="23">
        <v>1380.7</v>
      </c>
      <c r="D30" s="72"/>
      <c r="E30" s="23">
        <v>628</v>
      </c>
      <c r="F30" s="60">
        <f>646.6-16.7</f>
        <v>629.9</v>
      </c>
      <c r="G30" s="60">
        <f>22.9+2.8</f>
        <v>25.7</v>
      </c>
      <c r="H30" s="72"/>
      <c r="I30" s="72"/>
      <c r="J30" s="72"/>
      <c r="K30" s="60">
        <v>97.1</v>
      </c>
    </row>
    <row r="31" spans="1:11" ht="13.5" customHeight="1" x14ac:dyDescent="0.2">
      <c r="A31" s="69"/>
      <c r="B31" s="65"/>
      <c r="C31" s="14">
        <f>+D31+E31+F30+G30+H31+J31+K30</f>
        <v>1371.7</v>
      </c>
      <c r="D31" s="73"/>
      <c r="E31" s="14">
        <f>628-9</f>
        <v>619</v>
      </c>
      <c r="F31" s="61"/>
      <c r="G31" s="61"/>
      <c r="H31" s="73"/>
      <c r="I31" s="73"/>
      <c r="J31" s="73"/>
      <c r="K31" s="61"/>
    </row>
    <row r="32" spans="1:11" ht="13.5" customHeight="1" x14ac:dyDescent="0.2">
      <c r="A32" s="66">
        <v>6</v>
      </c>
      <c r="B32" s="62" t="s">
        <v>6</v>
      </c>
      <c r="C32" s="23">
        <v>1447.6</v>
      </c>
      <c r="D32" s="72"/>
      <c r="E32" s="23">
        <v>639.5</v>
      </c>
      <c r="F32" s="60">
        <f>+F34</f>
        <v>705.59999999999991</v>
      </c>
      <c r="G32" s="23">
        <v>39.700000000000003</v>
      </c>
      <c r="H32" s="72"/>
      <c r="I32" s="72"/>
      <c r="J32" s="72"/>
      <c r="K32" s="60">
        <f>+K34</f>
        <v>62.8</v>
      </c>
    </row>
    <row r="33" spans="1:11" ht="13.5" customHeight="1" x14ac:dyDescent="0.2">
      <c r="A33" s="67"/>
      <c r="B33" s="63"/>
      <c r="C33" s="14">
        <f>+C35</f>
        <v>1465.3999999999999</v>
      </c>
      <c r="D33" s="73"/>
      <c r="E33" s="14">
        <f t="shared" ref="E33:G33" si="8">+E35</f>
        <v>650.20000000000005</v>
      </c>
      <c r="F33" s="61"/>
      <c r="G33" s="14">
        <f t="shared" si="8"/>
        <v>46.800000000000004</v>
      </c>
      <c r="H33" s="73"/>
      <c r="I33" s="73"/>
      <c r="J33" s="73"/>
      <c r="K33" s="61"/>
    </row>
    <row r="34" spans="1:11" ht="13.5" customHeight="1" x14ac:dyDescent="0.2">
      <c r="A34" s="68" t="s">
        <v>80</v>
      </c>
      <c r="B34" s="64" t="s">
        <v>55</v>
      </c>
      <c r="C34" s="23">
        <v>1447.6</v>
      </c>
      <c r="D34" s="72"/>
      <c r="E34" s="23">
        <v>639.5</v>
      </c>
      <c r="F34" s="60">
        <f>724.3-18.7</f>
        <v>705.59999999999991</v>
      </c>
      <c r="G34" s="23">
        <v>39.700000000000003</v>
      </c>
      <c r="H34" s="72"/>
      <c r="I34" s="72"/>
      <c r="J34" s="72"/>
      <c r="K34" s="60">
        <v>62.8</v>
      </c>
    </row>
    <row r="35" spans="1:11" ht="13.5" customHeight="1" x14ac:dyDescent="0.2">
      <c r="A35" s="69"/>
      <c r="B35" s="65"/>
      <c r="C35" s="14">
        <f>+D35+E35+F34+G35+H35+J35+K34</f>
        <v>1465.3999999999999</v>
      </c>
      <c r="D35" s="73"/>
      <c r="E35" s="14">
        <f>639.5+10.7</f>
        <v>650.20000000000005</v>
      </c>
      <c r="F35" s="61"/>
      <c r="G35" s="14">
        <f>14.3+25.4+7.1</f>
        <v>46.800000000000004</v>
      </c>
      <c r="H35" s="73"/>
      <c r="I35" s="73"/>
      <c r="J35" s="73"/>
      <c r="K35" s="61"/>
    </row>
    <row r="36" spans="1:11" ht="13.5" customHeight="1" x14ac:dyDescent="0.2">
      <c r="A36" s="66">
        <v>7</v>
      </c>
      <c r="B36" s="62" t="s">
        <v>7</v>
      </c>
      <c r="C36" s="23">
        <v>1468.4</v>
      </c>
      <c r="D36" s="72"/>
      <c r="E36" s="23">
        <v>659.2</v>
      </c>
      <c r="F36" s="60">
        <f>+F38</f>
        <v>663.1</v>
      </c>
      <c r="G36" s="23">
        <v>48.1</v>
      </c>
      <c r="H36" s="72"/>
      <c r="I36" s="72"/>
      <c r="J36" s="72"/>
      <c r="K36" s="60">
        <f>+K38</f>
        <v>98</v>
      </c>
    </row>
    <row r="37" spans="1:11" ht="13.5" customHeight="1" x14ac:dyDescent="0.2">
      <c r="A37" s="67"/>
      <c r="B37" s="63"/>
      <c r="C37" s="14">
        <f>+C39</f>
        <v>1510</v>
      </c>
      <c r="D37" s="73"/>
      <c r="E37" s="14">
        <f t="shared" ref="E37:G37" si="9">+E39</f>
        <v>691.30000000000007</v>
      </c>
      <c r="F37" s="61"/>
      <c r="G37" s="14">
        <f t="shared" si="9"/>
        <v>57.599999999999994</v>
      </c>
      <c r="H37" s="73"/>
      <c r="I37" s="73"/>
      <c r="J37" s="73"/>
      <c r="K37" s="61"/>
    </row>
    <row r="38" spans="1:11" ht="13.5" customHeight="1" x14ac:dyDescent="0.2">
      <c r="A38" s="68" t="s">
        <v>75</v>
      </c>
      <c r="B38" s="64" t="s">
        <v>55</v>
      </c>
      <c r="C38" s="23">
        <v>1468.4</v>
      </c>
      <c r="D38" s="72"/>
      <c r="E38" s="23">
        <v>659.2</v>
      </c>
      <c r="F38" s="60">
        <f>679.9-16.8</f>
        <v>663.1</v>
      </c>
      <c r="G38" s="23">
        <v>48.1</v>
      </c>
      <c r="H38" s="72"/>
      <c r="I38" s="72"/>
      <c r="J38" s="72"/>
      <c r="K38" s="60">
        <v>98</v>
      </c>
    </row>
    <row r="39" spans="1:11" ht="13.5" customHeight="1" x14ac:dyDescent="0.2">
      <c r="A39" s="69"/>
      <c r="B39" s="65"/>
      <c r="C39" s="14">
        <f>+D39+E39+F38+G39+H39+J39+K38</f>
        <v>1510</v>
      </c>
      <c r="D39" s="73"/>
      <c r="E39" s="14">
        <f>659.2+32.1</f>
        <v>691.30000000000007</v>
      </c>
      <c r="F39" s="61"/>
      <c r="G39" s="14">
        <f>23.9+22.9+1.3+9.5</f>
        <v>57.599999999999994</v>
      </c>
      <c r="H39" s="73"/>
      <c r="I39" s="73"/>
      <c r="J39" s="73"/>
      <c r="K39" s="61"/>
    </row>
    <row r="40" spans="1:11" ht="25.5" x14ac:dyDescent="0.2">
      <c r="A40" s="39">
        <v>8</v>
      </c>
      <c r="B40" s="40" t="s">
        <v>8</v>
      </c>
      <c r="C40" s="41">
        <f>+C41</f>
        <v>946.70000000000016</v>
      </c>
      <c r="D40" s="42">
        <f t="shared" ref="D40:H40" si="10">+D41</f>
        <v>0</v>
      </c>
      <c r="E40" s="41">
        <f t="shared" si="10"/>
        <v>501.20000000000005</v>
      </c>
      <c r="F40" s="42">
        <f t="shared" si="10"/>
        <v>388.30000000000007</v>
      </c>
      <c r="G40" s="42">
        <f t="shared" si="10"/>
        <v>23.6</v>
      </c>
      <c r="H40" s="42">
        <f t="shared" si="10"/>
        <v>0</v>
      </c>
      <c r="I40" s="42"/>
      <c r="J40" s="42">
        <f t="shared" ref="J40:K40" si="11">+J41</f>
        <v>0</v>
      </c>
      <c r="K40" s="42">
        <f t="shared" si="11"/>
        <v>33.599999999999994</v>
      </c>
    </row>
    <row r="41" spans="1:11" ht="13.5" customHeight="1" x14ac:dyDescent="0.2">
      <c r="A41" s="43" t="s">
        <v>81</v>
      </c>
      <c r="B41" s="44" t="s">
        <v>55</v>
      </c>
      <c r="C41" s="41">
        <f t="shared" ref="C41:C125" si="12">+D41+E41+F41+G41+H41+J41+K41</f>
        <v>946.70000000000016</v>
      </c>
      <c r="D41" s="42"/>
      <c r="E41" s="41">
        <f>712.1-210.9</f>
        <v>501.20000000000005</v>
      </c>
      <c r="F41" s="42">
        <f>608.5-17.3-202.9</f>
        <v>388.30000000000007</v>
      </c>
      <c r="G41" s="42">
        <v>23.6</v>
      </c>
      <c r="H41" s="42"/>
      <c r="I41" s="42"/>
      <c r="J41" s="42"/>
      <c r="K41" s="45">
        <f>62.5-0.1-28.8</f>
        <v>33.599999999999994</v>
      </c>
    </row>
    <row r="42" spans="1:11" ht="13.5" customHeight="1" x14ac:dyDescent="0.2">
      <c r="A42" s="66">
        <v>9</v>
      </c>
      <c r="B42" s="62" t="s">
        <v>9</v>
      </c>
      <c r="C42" s="23">
        <v>2675.7</v>
      </c>
      <c r="D42" s="72"/>
      <c r="E42" s="23">
        <v>2067.8000000000002</v>
      </c>
      <c r="F42" s="60">
        <f>+F44</f>
        <v>556.79999999999995</v>
      </c>
      <c r="G42" s="60">
        <f>+G44</f>
        <v>21.8</v>
      </c>
      <c r="H42" s="72"/>
      <c r="I42" s="72"/>
      <c r="J42" s="72"/>
      <c r="K42" s="60">
        <f>+K44</f>
        <v>29.3</v>
      </c>
    </row>
    <row r="43" spans="1:11" ht="13.5" customHeight="1" x14ac:dyDescent="0.2">
      <c r="A43" s="67"/>
      <c r="B43" s="63"/>
      <c r="C43" s="14">
        <f>+C45</f>
        <v>2705.7000000000007</v>
      </c>
      <c r="D43" s="73">
        <f t="shared" ref="D43:H43" si="13">+D45</f>
        <v>0</v>
      </c>
      <c r="E43" s="14">
        <f t="shared" si="13"/>
        <v>2097.8000000000002</v>
      </c>
      <c r="F43" s="61"/>
      <c r="G43" s="61"/>
      <c r="H43" s="73">
        <f t="shared" si="13"/>
        <v>0</v>
      </c>
      <c r="I43" s="73"/>
      <c r="J43" s="73">
        <f t="shared" ref="J43" si="14">+J45</f>
        <v>0</v>
      </c>
      <c r="K43" s="61"/>
    </row>
    <row r="44" spans="1:11" ht="13.5" customHeight="1" x14ac:dyDescent="0.2">
      <c r="A44" s="68" t="s">
        <v>76</v>
      </c>
      <c r="B44" s="64" t="s">
        <v>55</v>
      </c>
      <c r="C44" s="23">
        <v>2675.7</v>
      </c>
      <c r="D44" s="72"/>
      <c r="E44" s="23">
        <v>2067.8000000000002</v>
      </c>
      <c r="F44" s="60">
        <v>556.79999999999995</v>
      </c>
      <c r="G44" s="60">
        <f>20.5+1.3</f>
        <v>21.8</v>
      </c>
      <c r="H44" s="72"/>
      <c r="I44" s="72"/>
      <c r="J44" s="72"/>
      <c r="K44" s="60">
        <v>29.3</v>
      </c>
    </row>
    <row r="45" spans="1:11" ht="13.5" customHeight="1" x14ac:dyDescent="0.2">
      <c r="A45" s="69"/>
      <c r="B45" s="65"/>
      <c r="C45" s="14">
        <f>+D45+E45+F44+G44+H45+J45+K44</f>
        <v>2705.7000000000007</v>
      </c>
      <c r="D45" s="73"/>
      <c r="E45" s="14">
        <f>2067.8+30</f>
        <v>2097.8000000000002</v>
      </c>
      <c r="F45" s="61"/>
      <c r="G45" s="61"/>
      <c r="H45" s="73"/>
      <c r="I45" s="73"/>
      <c r="J45" s="73"/>
      <c r="K45" s="61"/>
    </row>
    <row r="46" spans="1:11" ht="13.5" customHeight="1" x14ac:dyDescent="0.2">
      <c r="A46" s="66">
        <v>10</v>
      </c>
      <c r="B46" s="62" t="s">
        <v>10</v>
      </c>
      <c r="C46" s="23">
        <v>2708.9</v>
      </c>
      <c r="D46" s="72"/>
      <c r="E46" s="23">
        <v>2016.8</v>
      </c>
      <c r="F46" s="23">
        <v>621.6</v>
      </c>
      <c r="G46" s="60">
        <f>+G48</f>
        <v>41.3</v>
      </c>
      <c r="H46" s="72"/>
      <c r="I46" s="72"/>
      <c r="J46" s="72"/>
      <c r="K46" s="60">
        <f>+K48</f>
        <v>29.2</v>
      </c>
    </row>
    <row r="47" spans="1:11" ht="13.5" customHeight="1" x14ac:dyDescent="0.2">
      <c r="A47" s="67"/>
      <c r="B47" s="63"/>
      <c r="C47" s="14">
        <f>+C49</f>
        <v>2751.5</v>
      </c>
      <c r="D47" s="73"/>
      <c r="E47" s="14">
        <f t="shared" ref="E47:F47" si="15">+E49</f>
        <v>2055.6</v>
      </c>
      <c r="F47" s="14">
        <f t="shared" si="15"/>
        <v>625.4</v>
      </c>
      <c r="G47" s="61"/>
      <c r="H47" s="73"/>
      <c r="I47" s="73"/>
      <c r="J47" s="73"/>
      <c r="K47" s="61"/>
    </row>
    <row r="48" spans="1:11" ht="13.5" customHeight="1" x14ac:dyDescent="0.2">
      <c r="A48" s="68" t="s">
        <v>82</v>
      </c>
      <c r="B48" s="64" t="s">
        <v>55</v>
      </c>
      <c r="C48" s="23">
        <v>2708.9</v>
      </c>
      <c r="D48" s="72"/>
      <c r="E48" s="23">
        <v>2016.8</v>
      </c>
      <c r="F48" s="23">
        <v>621.6</v>
      </c>
      <c r="G48" s="60">
        <f>22.8+18.5</f>
        <v>41.3</v>
      </c>
      <c r="H48" s="72"/>
      <c r="I48" s="72"/>
      <c r="J48" s="72"/>
      <c r="K48" s="60">
        <v>29.2</v>
      </c>
    </row>
    <row r="49" spans="1:11" ht="13.5" customHeight="1" x14ac:dyDescent="0.2">
      <c r="A49" s="69"/>
      <c r="B49" s="65"/>
      <c r="C49" s="14">
        <f>+D49+E49+F49+G48+H49+J49+K48</f>
        <v>2751.5</v>
      </c>
      <c r="D49" s="73"/>
      <c r="E49" s="14">
        <f>2016.8+38.8</f>
        <v>2055.6</v>
      </c>
      <c r="F49" s="14">
        <f>634.7-13.1+3.8</f>
        <v>625.4</v>
      </c>
      <c r="G49" s="61"/>
      <c r="H49" s="73"/>
      <c r="I49" s="73"/>
      <c r="J49" s="73"/>
      <c r="K49" s="61"/>
    </row>
    <row r="50" spans="1:11" ht="13.5" customHeight="1" x14ac:dyDescent="0.2">
      <c r="A50" s="66">
        <v>11</v>
      </c>
      <c r="B50" s="78" t="s">
        <v>11</v>
      </c>
      <c r="C50" s="23">
        <v>4006.5</v>
      </c>
      <c r="D50" s="72"/>
      <c r="E50" s="76">
        <f>+E52</f>
        <v>2409.5</v>
      </c>
      <c r="F50" s="23">
        <v>1537.7</v>
      </c>
      <c r="G50" s="60">
        <f>+G52</f>
        <v>16.799999999999997</v>
      </c>
      <c r="H50" s="72"/>
      <c r="I50" s="72"/>
      <c r="J50" s="72"/>
      <c r="K50" s="60">
        <f>+K52</f>
        <v>42.500000000000007</v>
      </c>
    </row>
    <row r="51" spans="1:11" ht="13.5" customHeight="1" x14ac:dyDescent="0.2">
      <c r="A51" s="67"/>
      <c r="B51" s="79"/>
      <c r="C51" s="14">
        <f>+C53</f>
        <v>3980.3</v>
      </c>
      <c r="D51" s="73"/>
      <c r="E51" s="77"/>
      <c r="F51" s="14">
        <f t="shared" ref="F51" si="16">+F53</f>
        <v>1511.5</v>
      </c>
      <c r="G51" s="61"/>
      <c r="H51" s="73"/>
      <c r="I51" s="73"/>
      <c r="J51" s="73"/>
      <c r="K51" s="61"/>
    </row>
    <row r="52" spans="1:11" ht="13.5" customHeight="1" x14ac:dyDescent="0.2">
      <c r="A52" s="68" t="s">
        <v>83</v>
      </c>
      <c r="B52" s="64" t="s">
        <v>55</v>
      </c>
      <c r="C52" s="23">
        <v>4006.5</v>
      </c>
      <c r="D52" s="72"/>
      <c r="E52" s="76">
        <f>2254.9+154.6</f>
        <v>2409.5</v>
      </c>
      <c r="F52" s="23">
        <v>1537.7</v>
      </c>
      <c r="G52" s="60">
        <f>16.4+0.4</f>
        <v>16.799999999999997</v>
      </c>
      <c r="H52" s="72"/>
      <c r="I52" s="72"/>
      <c r="J52" s="72"/>
      <c r="K52" s="60">
        <f>41.1+0.2+1.2</f>
        <v>42.500000000000007</v>
      </c>
    </row>
    <row r="53" spans="1:11" ht="13.5" customHeight="1" x14ac:dyDescent="0.2">
      <c r="A53" s="69"/>
      <c r="B53" s="65"/>
      <c r="C53" s="14">
        <f>+D53+E52+F53+G52+H53+J53+K52</f>
        <v>3980.3</v>
      </c>
      <c r="D53" s="73"/>
      <c r="E53" s="77"/>
      <c r="F53" s="14">
        <f>1423.7-11.8+125.8-26.2</f>
        <v>1511.5</v>
      </c>
      <c r="G53" s="61"/>
      <c r="H53" s="73"/>
      <c r="I53" s="73"/>
      <c r="J53" s="73"/>
      <c r="K53" s="61"/>
    </row>
    <row r="54" spans="1:11" ht="13.5" customHeight="1" x14ac:dyDescent="0.2">
      <c r="A54" s="66">
        <v>12</v>
      </c>
      <c r="B54" s="78" t="s">
        <v>223</v>
      </c>
      <c r="C54" s="23">
        <v>1781.9</v>
      </c>
      <c r="D54" s="72"/>
      <c r="E54" s="23">
        <v>1248.7</v>
      </c>
      <c r="F54" s="60">
        <f>+F56</f>
        <v>518.90000000000009</v>
      </c>
      <c r="G54" s="60">
        <f>+G56</f>
        <v>3.5</v>
      </c>
      <c r="H54" s="72"/>
      <c r="I54" s="72"/>
      <c r="J54" s="72"/>
      <c r="K54" s="60">
        <f>+K56</f>
        <v>10.8</v>
      </c>
    </row>
    <row r="55" spans="1:11" x14ac:dyDescent="0.2">
      <c r="A55" s="67"/>
      <c r="B55" s="79"/>
      <c r="C55" s="14">
        <f>+C57</f>
        <v>1834.4</v>
      </c>
      <c r="D55" s="73"/>
      <c r="E55" s="14">
        <f t="shared" ref="E55" si="17">+E57</f>
        <v>1301.2</v>
      </c>
      <c r="F55" s="61"/>
      <c r="G55" s="61"/>
      <c r="H55" s="73"/>
      <c r="I55" s="73"/>
      <c r="J55" s="73"/>
      <c r="K55" s="61"/>
    </row>
    <row r="56" spans="1:11" ht="15" customHeight="1" x14ac:dyDescent="0.2">
      <c r="A56" s="68" t="s">
        <v>84</v>
      </c>
      <c r="B56" s="64" t="s">
        <v>55</v>
      </c>
      <c r="C56" s="23">
        <v>1781.9</v>
      </c>
      <c r="D56" s="72"/>
      <c r="E56" s="23">
        <v>1248.7</v>
      </c>
      <c r="F56" s="60">
        <f>520.7-1.8</f>
        <v>518.90000000000009</v>
      </c>
      <c r="G56" s="60">
        <f>2.6+0.9</f>
        <v>3.5</v>
      </c>
      <c r="H56" s="72"/>
      <c r="I56" s="72"/>
      <c r="J56" s="72"/>
      <c r="K56" s="60">
        <v>10.8</v>
      </c>
    </row>
    <row r="57" spans="1:11" ht="13.5" customHeight="1" x14ac:dyDescent="0.2">
      <c r="A57" s="69"/>
      <c r="B57" s="65"/>
      <c r="C57" s="14">
        <f>+D57+E57+F56+G56+H57+J57+K56</f>
        <v>1834.4</v>
      </c>
      <c r="D57" s="73"/>
      <c r="E57" s="14">
        <f>1248.7+52.5</f>
        <v>1301.2</v>
      </c>
      <c r="F57" s="61"/>
      <c r="G57" s="61"/>
      <c r="H57" s="73"/>
      <c r="I57" s="73"/>
      <c r="J57" s="73"/>
      <c r="K57" s="61"/>
    </row>
    <row r="58" spans="1:11" ht="13.5" customHeight="1" x14ac:dyDescent="0.2">
      <c r="A58" s="66">
        <v>13</v>
      </c>
      <c r="B58" s="78" t="s">
        <v>12</v>
      </c>
      <c r="C58" s="23">
        <v>2573.5</v>
      </c>
      <c r="D58" s="72"/>
      <c r="E58" s="23">
        <v>1373.3</v>
      </c>
      <c r="F58" s="23">
        <v>1165.5999999999999</v>
      </c>
      <c r="G58" s="60">
        <f>+G60</f>
        <v>10.9</v>
      </c>
      <c r="H58" s="72"/>
      <c r="I58" s="72"/>
      <c r="J58" s="72"/>
      <c r="K58" s="60">
        <f>+K60</f>
        <v>23.7</v>
      </c>
    </row>
    <row r="59" spans="1:11" x14ac:dyDescent="0.2">
      <c r="A59" s="67"/>
      <c r="B59" s="79"/>
      <c r="C59" s="14">
        <f>+C61</f>
        <v>2576.3999999999996</v>
      </c>
      <c r="D59" s="73"/>
      <c r="E59" s="14">
        <f t="shared" ref="E59:F59" si="18">+E61</f>
        <v>1363.1</v>
      </c>
      <c r="F59" s="14">
        <f t="shared" si="18"/>
        <v>1178.6999999999998</v>
      </c>
      <c r="G59" s="61"/>
      <c r="H59" s="73"/>
      <c r="I59" s="73"/>
      <c r="J59" s="73"/>
      <c r="K59" s="61"/>
    </row>
    <row r="60" spans="1:11" ht="15" customHeight="1" x14ac:dyDescent="0.2">
      <c r="A60" s="68" t="s">
        <v>85</v>
      </c>
      <c r="B60" s="64" t="s">
        <v>55</v>
      </c>
      <c r="C60" s="23">
        <v>2573.5</v>
      </c>
      <c r="D60" s="72"/>
      <c r="E60" s="23">
        <v>1373.3</v>
      </c>
      <c r="F60" s="23">
        <v>1165.5999999999999</v>
      </c>
      <c r="G60" s="60">
        <v>10.9</v>
      </c>
      <c r="H60" s="72"/>
      <c r="I60" s="72"/>
      <c r="J60" s="72"/>
      <c r="K60" s="60">
        <v>23.7</v>
      </c>
    </row>
    <row r="61" spans="1:11" ht="13.5" customHeight="1" x14ac:dyDescent="0.2">
      <c r="A61" s="69"/>
      <c r="B61" s="65"/>
      <c r="C61" s="14">
        <f>+D61+E61+F61+G60+H61+J61+K60</f>
        <v>2576.3999999999996</v>
      </c>
      <c r="D61" s="73"/>
      <c r="E61" s="14">
        <f>1373.3-10.2</f>
        <v>1363.1</v>
      </c>
      <c r="F61" s="14">
        <f>1173.3-7.7+13.1</f>
        <v>1178.6999999999998</v>
      </c>
      <c r="G61" s="61"/>
      <c r="H61" s="73"/>
      <c r="I61" s="73"/>
      <c r="J61" s="73"/>
      <c r="K61" s="61"/>
    </row>
    <row r="62" spans="1:11" ht="13.5" customHeight="1" x14ac:dyDescent="0.2">
      <c r="A62" s="66">
        <v>14</v>
      </c>
      <c r="B62" s="62" t="s">
        <v>13</v>
      </c>
      <c r="C62" s="23">
        <v>2389</v>
      </c>
      <c r="D62" s="72"/>
      <c r="E62" s="23">
        <v>1350.9</v>
      </c>
      <c r="F62" s="23">
        <v>976.4</v>
      </c>
      <c r="G62" s="60">
        <f>+G64</f>
        <v>9.6</v>
      </c>
      <c r="H62" s="72"/>
      <c r="I62" s="72"/>
      <c r="J62" s="72"/>
      <c r="K62" s="60">
        <f>+K64</f>
        <v>52.1</v>
      </c>
    </row>
    <row r="63" spans="1:11" ht="13.5" customHeight="1" x14ac:dyDescent="0.2">
      <c r="A63" s="67"/>
      <c r="B63" s="63"/>
      <c r="C63" s="14">
        <f>+C65</f>
        <v>2449.3999999999996</v>
      </c>
      <c r="D63" s="73"/>
      <c r="E63" s="14">
        <f t="shared" ref="E63:F63" si="19">+E65</f>
        <v>1398.1999999999998</v>
      </c>
      <c r="F63" s="14">
        <f t="shared" si="19"/>
        <v>989.5</v>
      </c>
      <c r="G63" s="61"/>
      <c r="H63" s="73"/>
      <c r="I63" s="73"/>
      <c r="J63" s="73"/>
      <c r="K63" s="61"/>
    </row>
    <row r="64" spans="1:11" ht="13.5" customHeight="1" x14ac:dyDescent="0.2">
      <c r="A64" s="68" t="s">
        <v>86</v>
      </c>
      <c r="B64" s="64" t="s">
        <v>55</v>
      </c>
      <c r="C64" s="23">
        <v>2389</v>
      </c>
      <c r="D64" s="72"/>
      <c r="E64" s="23">
        <v>1350.9</v>
      </c>
      <c r="F64" s="23">
        <v>976.4</v>
      </c>
      <c r="G64" s="60">
        <f>8.9+0.7</f>
        <v>9.6</v>
      </c>
      <c r="H64" s="72"/>
      <c r="I64" s="72"/>
      <c r="J64" s="72"/>
      <c r="K64" s="60">
        <f>48.4+0.7+3</f>
        <v>52.1</v>
      </c>
    </row>
    <row r="65" spans="1:11" ht="13.5" customHeight="1" x14ac:dyDescent="0.2">
      <c r="A65" s="69"/>
      <c r="B65" s="65"/>
      <c r="C65" s="14">
        <f>+D65+E65+F65+G64+H65+J65+K64</f>
        <v>2449.3999999999996</v>
      </c>
      <c r="D65" s="73"/>
      <c r="E65" s="14">
        <f>1313.1+37.8+47.3</f>
        <v>1398.1999999999998</v>
      </c>
      <c r="F65" s="14">
        <f>960.7-6.6+22.3+13.1</f>
        <v>989.5</v>
      </c>
      <c r="G65" s="61"/>
      <c r="H65" s="73"/>
      <c r="I65" s="73"/>
      <c r="J65" s="73"/>
      <c r="K65" s="61"/>
    </row>
    <row r="66" spans="1:11" ht="13.5" customHeight="1" x14ac:dyDescent="0.2">
      <c r="A66" s="66">
        <v>15</v>
      </c>
      <c r="B66" s="78" t="s">
        <v>14</v>
      </c>
      <c r="C66" s="23">
        <v>3763.3</v>
      </c>
      <c r="D66" s="72"/>
      <c r="E66" s="23">
        <v>2888.9</v>
      </c>
      <c r="F66" s="23">
        <v>785.6</v>
      </c>
      <c r="G66" s="60">
        <f>+G68</f>
        <v>28.299999999999997</v>
      </c>
      <c r="H66" s="72"/>
      <c r="I66" s="72"/>
      <c r="J66" s="72"/>
      <c r="K66" s="60">
        <f>+K68</f>
        <v>60.5</v>
      </c>
    </row>
    <row r="67" spans="1:11" x14ac:dyDescent="0.2">
      <c r="A67" s="67"/>
      <c r="B67" s="79"/>
      <c r="C67" s="14">
        <f>+C69</f>
        <v>3783.3</v>
      </c>
      <c r="D67" s="73"/>
      <c r="E67" s="14">
        <f t="shared" ref="E67:F67" si="20">+E69</f>
        <v>2898</v>
      </c>
      <c r="F67" s="14">
        <f t="shared" si="20"/>
        <v>796.5</v>
      </c>
      <c r="G67" s="61"/>
      <c r="H67" s="73"/>
      <c r="I67" s="73"/>
      <c r="J67" s="73"/>
      <c r="K67" s="61"/>
    </row>
    <row r="68" spans="1:11" ht="15" customHeight="1" x14ac:dyDescent="0.2">
      <c r="A68" s="68" t="s">
        <v>87</v>
      </c>
      <c r="B68" s="64" t="s">
        <v>55</v>
      </c>
      <c r="C68" s="23">
        <v>3763.3</v>
      </c>
      <c r="D68" s="72"/>
      <c r="E68" s="23">
        <v>2888.9</v>
      </c>
      <c r="F68" s="23">
        <v>785.6</v>
      </c>
      <c r="G68" s="60">
        <f>21.9+6.4</f>
        <v>28.299999999999997</v>
      </c>
      <c r="H68" s="72"/>
      <c r="I68" s="72"/>
      <c r="J68" s="72"/>
      <c r="K68" s="60">
        <v>60.5</v>
      </c>
    </row>
    <row r="69" spans="1:11" ht="13.5" customHeight="1" x14ac:dyDescent="0.2">
      <c r="A69" s="69"/>
      <c r="B69" s="65"/>
      <c r="C69" s="14">
        <f>+D69+E69+F69+G68+H69+J69+K68</f>
        <v>3783.3</v>
      </c>
      <c r="D69" s="73"/>
      <c r="E69" s="14">
        <f>2888.9+9.1</f>
        <v>2898</v>
      </c>
      <c r="F69" s="14">
        <f>790.4-4.8+10.9</f>
        <v>796.5</v>
      </c>
      <c r="G69" s="61"/>
      <c r="H69" s="73"/>
      <c r="I69" s="73"/>
      <c r="J69" s="73"/>
      <c r="K69" s="61"/>
    </row>
    <row r="70" spans="1:11" ht="13.5" customHeight="1" x14ac:dyDescent="0.2">
      <c r="A70" s="66">
        <v>16</v>
      </c>
      <c r="B70" s="62" t="s">
        <v>15</v>
      </c>
      <c r="C70" s="23">
        <v>3585.2</v>
      </c>
      <c r="D70" s="72"/>
      <c r="E70" s="23">
        <v>2963</v>
      </c>
      <c r="F70" s="76">
        <f>+F72</f>
        <v>577.4</v>
      </c>
      <c r="G70" s="60">
        <f>+G72</f>
        <v>35.200000000000003</v>
      </c>
      <c r="H70" s="72"/>
      <c r="I70" s="72"/>
      <c r="J70" s="72"/>
      <c r="K70" s="60">
        <f>+K72</f>
        <v>9.6</v>
      </c>
    </row>
    <row r="71" spans="1:11" ht="13.5" customHeight="1" x14ac:dyDescent="0.2">
      <c r="A71" s="67"/>
      <c r="B71" s="63"/>
      <c r="C71" s="14">
        <f>+C73</f>
        <v>3603.6</v>
      </c>
      <c r="D71" s="73"/>
      <c r="E71" s="14">
        <f t="shared" ref="E71" si="21">+E73</f>
        <v>2981.4</v>
      </c>
      <c r="F71" s="77"/>
      <c r="G71" s="61"/>
      <c r="H71" s="73"/>
      <c r="I71" s="73"/>
      <c r="J71" s="73"/>
      <c r="K71" s="61"/>
    </row>
    <row r="72" spans="1:11" ht="13.5" customHeight="1" x14ac:dyDescent="0.2">
      <c r="A72" s="68" t="s">
        <v>88</v>
      </c>
      <c r="B72" s="64" t="s">
        <v>55</v>
      </c>
      <c r="C72" s="23">
        <v>3585.2</v>
      </c>
      <c r="D72" s="72"/>
      <c r="E72" s="23">
        <v>2963</v>
      </c>
      <c r="F72" s="76">
        <f>583.4-6</f>
        <v>577.4</v>
      </c>
      <c r="G72" s="60">
        <f>23.4+8.8+3</f>
        <v>35.200000000000003</v>
      </c>
      <c r="H72" s="72"/>
      <c r="I72" s="72"/>
      <c r="J72" s="72"/>
      <c r="K72" s="60">
        <v>9.6</v>
      </c>
    </row>
    <row r="73" spans="1:11" ht="13.5" customHeight="1" x14ac:dyDescent="0.2">
      <c r="A73" s="69"/>
      <c r="B73" s="65"/>
      <c r="C73" s="14">
        <f>+D73+E73+F72+G72+H73+J73+K72</f>
        <v>3603.6</v>
      </c>
      <c r="D73" s="73"/>
      <c r="E73" s="14">
        <f>2963+18.4</f>
        <v>2981.4</v>
      </c>
      <c r="F73" s="77"/>
      <c r="G73" s="61"/>
      <c r="H73" s="73"/>
      <c r="I73" s="73"/>
      <c r="J73" s="73"/>
      <c r="K73" s="61"/>
    </row>
    <row r="74" spans="1:11" ht="13.5" customHeight="1" x14ac:dyDescent="0.2">
      <c r="A74" s="66">
        <v>17</v>
      </c>
      <c r="B74" s="78" t="s">
        <v>16</v>
      </c>
      <c r="C74" s="23">
        <v>3210.4</v>
      </c>
      <c r="D74" s="72"/>
      <c r="E74" s="23">
        <v>2348.6</v>
      </c>
      <c r="F74" s="76">
        <f>+F76</f>
        <v>796.8</v>
      </c>
      <c r="G74" s="23">
        <v>23.4</v>
      </c>
      <c r="H74" s="72"/>
      <c r="I74" s="72"/>
      <c r="J74" s="72"/>
      <c r="K74" s="60">
        <f>+K76</f>
        <v>41.6</v>
      </c>
    </row>
    <row r="75" spans="1:11" ht="13.5" customHeight="1" x14ac:dyDescent="0.2">
      <c r="A75" s="67"/>
      <c r="B75" s="79"/>
      <c r="C75" s="14">
        <f>+C77</f>
        <v>3175.4</v>
      </c>
      <c r="D75" s="73"/>
      <c r="E75" s="14">
        <f t="shared" ref="E75:G75" si="22">+E77</f>
        <v>2311.1999999999998</v>
      </c>
      <c r="F75" s="77"/>
      <c r="G75" s="14">
        <f t="shared" si="22"/>
        <v>25.799999999999997</v>
      </c>
      <c r="H75" s="73"/>
      <c r="I75" s="73"/>
      <c r="J75" s="73"/>
      <c r="K75" s="61"/>
    </row>
    <row r="76" spans="1:11" ht="13.5" customHeight="1" x14ac:dyDescent="0.2">
      <c r="A76" s="68" t="s">
        <v>89</v>
      </c>
      <c r="B76" s="64" t="s">
        <v>55</v>
      </c>
      <c r="C76" s="23">
        <v>3210.4</v>
      </c>
      <c r="D76" s="72"/>
      <c r="E76" s="23">
        <v>2348.6</v>
      </c>
      <c r="F76" s="76">
        <f>599.4-5.5+202.9</f>
        <v>796.8</v>
      </c>
      <c r="G76" s="23">
        <v>23.4</v>
      </c>
      <c r="H76" s="72"/>
      <c r="I76" s="72"/>
      <c r="J76" s="72"/>
      <c r="K76" s="60">
        <f>12.7+0.1+28.8</f>
        <v>41.6</v>
      </c>
    </row>
    <row r="77" spans="1:11" ht="13.5" customHeight="1" x14ac:dyDescent="0.2">
      <c r="A77" s="69"/>
      <c r="B77" s="65"/>
      <c r="C77" s="14">
        <f>+D77+E77+F76+G77+H77+J77+K76</f>
        <v>3175.4</v>
      </c>
      <c r="D77" s="73"/>
      <c r="E77" s="14">
        <f>2137.7+210.9-37.4</f>
        <v>2311.1999999999998</v>
      </c>
      <c r="F77" s="77"/>
      <c r="G77" s="14">
        <f>15.4+8+2.4</f>
        <v>25.799999999999997</v>
      </c>
      <c r="H77" s="73"/>
      <c r="I77" s="73"/>
      <c r="J77" s="73"/>
      <c r="K77" s="61"/>
    </row>
    <row r="78" spans="1:11" ht="13.5" customHeight="1" x14ac:dyDescent="0.2">
      <c r="A78" s="66">
        <v>18</v>
      </c>
      <c r="B78" s="78" t="s">
        <v>17</v>
      </c>
      <c r="C78" s="23">
        <v>1038.3</v>
      </c>
      <c r="D78" s="72"/>
      <c r="E78" s="23">
        <v>669.6</v>
      </c>
      <c r="F78" s="60">
        <f>+F80</f>
        <v>365.3</v>
      </c>
      <c r="G78" s="60">
        <f>+G80</f>
        <v>1.8</v>
      </c>
      <c r="H78" s="72"/>
      <c r="I78" s="72"/>
      <c r="J78" s="72"/>
      <c r="K78" s="60">
        <f>+K80</f>
        <v>1.6</v>
      </c>
    </row>
    <row r="79" spans="1:11" ht="13.5" customHeight="1" x14ac:dyDescent="0.2">
      <c r="A79" s="67"/>
      <c r="B79" s="79"/>
      <c r="C79" s="14">
        <f>+C81</f>
        <v>1037.0999999999999</v>
      </c>
      <c r="D79" s="73"/>
      <c r="E79" s="14">
        <f t="shared" ref="E79" si="23">+E81</f>
        <v>668.4</v>
      </c>
      <c r="F79" s="61"/>
      <c r="G79" s="61"/>
      <c r="H79" s="73"/>
      <c r="I79" s="73"/>
      <c r="J79" s="73"/>
      <c r="K79" s="61"/>
    </row>
    <row r="80" spans="1:11" ht="13.5" customHeight="1" x14ac:dyDescent="0.2">
      <c r="A80" s="68" t="s">
        <v>90</v>
      </c>
      <c r="B80" s="64" t="s">
        <v>55</v>
      </c>
      <c r="C80" s="23">
        <v>1038.3</v>
      </c>
      <c r="D80" s="72"/>
      <c r="E80" s="23">
        <v>669.6</v>
      </c>
      <c r="F80" s="60">
        <f>366.5-1.2</f>
        <v>365.3</v>
      </c>
      <c r="G80" s="60">
        <v>1.8</v>
      </c>
      <c r="H80" s="72"/>
      <c r="I80" s="72"/>
      <c r="J80" s="72"/>
      <c r="K80" s="60">
        <f>1.3+0.3</f>
        <v>1.6</v>
      </c>
    </row>
    <row r="81" spans="1:11" ht="13.5" customHeight="1" x14ac:dyDescent="0.2">
      <c r="A81" s="69"/>
      <c r="B81" s="65"/>
      <c r="C81" s="14">
        <f>+D81+E81+F80+G80+H81+J81+K80</f>
        <v>1037.0999999999999</v>
      </c>
      <c r="D81" s="73"/>
      <c r="E81" s="14">
        <f>669.6-1.2</f>
        <v>668.4</v>
      </c>
      <c r="F81" s="61"/>
      <c r="G81" s="61"/>
      <c r="H81" s="73"/>
      <c r="I81" s="73"/>
      <c r="J81" s="73"/>
      <c r="K81" s="61"/>
    </row>
    <row r="82" spans="1:11" ht="13.5" customHeight="1" x14ac:dyDescent="0.2">
      <c r="A82" s="66">
        <v>19</v>
      </c>
      <c r="B82" s="78" t="s">
        <v>18</v>
      </c>
      <c r="C82" s="23">
        <v>2515.6999999999998</v>
      </c>
      <c r="D82" s="72"/>
      <c r="E82" s="23">
        <v>1416.2</v>
      </c>
      <c r="F82" s="60">
        <f>+F84</f>
        <v>1016.8999999999999</v>
      </c>
      <c r="G82" s="60">
        <f>+G84</f>
        <v>19.600000000000001</v>
      </c>
      <c r="H82" s="72"/>
      <c r="I82" s="72"/>
      <c r="J82" s="72"/>
      <c r="K82" s="60">
        <f>+K84</f>
        <v>63</v>
      </c>
    </row>
    <row r="83" spans="1:11" ht="13.5" customHeight="1" x14ac:dyDescent="0.2">
      <c r="A83" s="67"/>
      <c r="B83" s="79"/>
      <c r="C83" s="14">
        <f>+C85</f>
        <v>2542.6999999999998</v>
      </c>
      <c r="D83" s="73"/>
      <c r="E83" s="14">
        <f t="shared" ref="E83" si="24">+E85</f>
        <v>1443.2</v>
      </c>
      <c r="F83" s="61"/>
      <c r="G83" s="61"/>
      <c r="H83" s="73"/>
      <c r="I83" s="73"/>
      <c r="J83" s="73"/>
      <c r="K83" s="61"/>
    </row>
    <row r="84" spans="1:11" ht="13.5" customHeight="1" x14ac:dyDescent="0.2">
      <c r="A84" s="68" t="s">
        <v>91</v>
      </c>
      <c r="B84" s="64" t="s">
        <v>55</v>
      </c>
      <c r="C84" s="23">
        <v>2515.6999999999998</v>
      </c>
      <c r="D84" s="72"/>
      <c r="E84" s="23">
        <v>1416.2</v>
      </c>
      <c r="F84" s="60">
        <f>1031.1-14.2</f>
        <v>1016.8999999999999</v>
      </c>
      <c r="G84" s="60">
        <v>19.600000000000001</v>
      </c>
      <c r="H84" s="72"/>
      <c r="I84" s="72"/>
      <c r="J84" s="72"/>
      <c r="K84" s="60">
        <v>63</v>
      </c>
    </row>
    <row r="85" spans="1:11" ht="13.5" customHeight="1" x14ac:dyDescent="0.2">
      <c r="A85" s="69"/>
      <c r="B85" s="65"/>
      <c r="C85" s="14">
        <f>+D85+E85+F84+G84+H85+J85+K84</f>
        <v>2542.6999999999998</v>
      </c>
      <c r="D85" s="73"/>
      <c r="E85" s="14">
        <f>1416.2+27</f>
        <v>1443.2</v>
      </c>
      <c r="F85" s="61"/>
      <c r="G85" s="61"/>
      <c r="H85" s="73"/>
      <c r="I85" s="73"/>
      <c r="J85" s="73"/>
      <c r="K85" s="61"/>
    </row>
    <row r="86" spans="1:11" ht="25.5" x14ac:dyDescent="0.2">
      <c r="A86" s="46">
        <v>20</v>
      </c>
      <c r="B86" s="40" t="s">
        <v>19</v>
      </c>
      <c r="C86" s="41">
        <f>+C87</f>
        <v>605</v>
      </c>
      <c r="D86" s="42">
        <f t="shared" ref="D86:H86" si="25">+D87</f>
        <v>0</v>
      </c>
      <c r="E86" s="42">
        <f t="shared" si="25"/>
        <v>346.29999999999995</v>
      </c>
      <c r="F86" s="42">
        <f t="shared" si="25"/>
        <v>251.7</v>
      </c>
      <c r="G86" s="42">
        <f t="shared" si="25"/>
        <v>2.3000000000000003</v>
      </c>
      <c r="H86" s="42">
        <f t="shared" si="25"/>
        <v>0</v>
      </c>
      <c r="I86" s="42"/>
      <c r="J86" s="42">
        <f t="shared" ref="J86:K86" si="26">+J87</f>
        <v>0</v>
      </c>
      <c r="K86" s="45">
        <f t="shared" si="26"/>
        <v>4.6999999999999993</v>
      </c>
    </row>
    <row r="87" spans="1:11" ht="13.5" customHeight="1" x14ac:dyDescent="0.2">
      <c r="A87" s="43" t="s">
        <v>92</v>
      </c>
      <c r="B87" s="44" t="s">
        <v>55</v>
      </c>
      <c r="C87" s="41">
        <f t="shared" si="12"/>
        <v>605</v>
      </c>
      <c r="D87" s="42"/>
      <c r="E87" s="42">
        <f>500.9-154.6</f>
        <v>346.29999999999995</v>
      </c>
      <c r="F87" s="42">
        <f>379.4-1.9-125.8</f>
        <v>251.7</v>
      </c>
      <c r="G87" s="42">
        <f>2.7-0.4</f>
        <v>2.3000000000000003</v>
      </c>
      <c r="H87" s="42"/>
      <c r="I87" s="42"/>
      <c r="J87" s="42"/>
      <c r="K87" s="45">
        <f>6.1-0.2-1.2</f>
        <v>4.6999999999999993</v>
      </c>
    </row>
    <row r="88" spans="1:11" ht="13.5" customHeight="1" x14ac:dyDescent="0.2">
      <c r="A88" s="66">
        <v>21</v>
      </c>
      <c r="B88" s="78" t="s">
        <v>20</v>
      </c>
      <c r="C88" s="23">
        <v>1111.7</v>
      </c>
      <c r="D88" s="72"/>
      <c r="E88" s="23">
        <v>284.3</v>
      </c>
      <c r="F88" s="60">
        <f>+F90</f>
        <v>671.7</v>
      </c>
      <c r="G88" s="60">
        <f>+G90</f>
        <v>19.600000000000001</v>
      </c>
      <c r="H88" s="72"/>
      <c r="I88" s="72"/>
      <c r="J88" s="72"/>
      <c r="K88" s="60">
        <f>+K90</f>
        <v>136.1</v>
      </c>
    </row>
    <row r="89" spans="1:11" x14ac:dyDescent="0.2">
      <c r="A89" s="67"/>
      <c r="B89" s="79"/>
      <c r="C89" s="14">
        <f>+C91</f>
        <v>1115.1000000000001</v>
      </c>
      <c r="D89" s="73">
        <f t="shared" ref="D89:H89" si="27">+D91</f>
        <v>0</v>
      </c>
      <c r="E89" s="14">
        <f t="shared" si="27"/>
        <v>287.7</v>
      </c>
      <c r="F89" s="61"/>
      <c r="G89" s="61"/>
      <c r="H89" s="73">
        <f t="shared" si="27"/>
        <v>0</v>
      </c>
      <c r="I89" s="73"/>
      <c r="J89" s="73">
        <f t="shared" ref="J89" si="28">+J91</f>
        <v>0</v>
      </c>
      <c r="K89" s="61"/>
    </row>
    <row r="90" spans="1:11" ht="15" customHeight="1" x14ac:dyDescent="0.2">
      <c r="A90" s="68" t="s">
        <v>93</v>
      </c>
      <c r="B90" s="64" t="s">
        <v>55</v>
      </c>
      <c r="C90" s="23">
        <v>1111.7</v>
      </c>
      <c r="D90" s="72"/>
      <c r="E90" s="23">
        <v>284.3</v>
      </c>
      <c r="F90" s="60">
        <f>686.1-14.4</f>
        <v>671.7</v>
      </c>
      <c r="G90" s="60">
        <v>19.600000000000001</v>
      </c>
      <c r="H90" s="72"/>
      <c r="I90" s="72"/>
      <c r="J90" s="72"/>
      <c r="K90" s="60">
        <f>125.9+10.2</f>
        <v>136.1</v>
      </c>
    </row>
    <row r="91" spans="1:11" ht="13.5" customHeight="1" x14ac:dyDescent="0.2">
      <c r="A91" s="69"/>
      <c r="B91" s="65"/>
      <c r="C91" s="14">
        <f>+D91+E91+F90+G90+H91+J91+K90</f>
        <v>1115.1000000000001</v>
      </c>
      <c r="D91" s="73"/>
      <c r="E91" s="14">
        <f>284.3+3.4</f>
        <v>287.7</v>
      </c>
      <c r="F91" s="61"/>
      <c r="G91" s="61"/>
      <c r="H91" s="73"/>
      <c r="I91" s="73"/>
      <c r="J91" s="73"/>
      <c r="K91" s="61"/>
    </row>
    <row r="92" spans="1:11" ht="13.5" customHeight="1" x14ac:dyDescent="0.2">
      <c r="A92" s="66">
        <v>22</v>
      </c>
      <c r="B92" s="62" t="s">
        <v>21</v>
      </c>
      <c r="C92" s="23">
        <v>2202.6</v>
      </c>
      <c r="D92" s="72"/>
      <c r="E92" s="23">
        <v>1248.4000000000001</v>
      </c>
      <c r="F92" s="23">
        <v>148.6</v>
      </c>
      <c r="G92" s="60">
        <f>+G94</f>
        <v>784.80000000000007</v>
      </c>
      <c r="H92" s="72"/>
      <c r="I92" s="72"/>
      <c r="J92" s="72"/>
      <c r="K92" s="60">
        <f>+K94</f>
        <v>20.8</v>
      </c>
    </row>
    <row r="93" spans="1:11" ht="13.5" customHeight="1" x14ac:dyDescent="0.2">
      <c r="A93" s="67"/>
      <c r="B93" s="63"/>
      <c r="C93" s="14">
        <f>+C95</f>
        <v>2234.5000000000005</v>
      </c>
      <c r="D93" s="73"/>
      <c r="E93" s="14">
        <f t="shared" ref="E93:F93" si="29">+E95</f>
        <v>1270</v>
      </c>
      <c r="F93" s="14">
        <f t="shared" si="29"/>
        <v>158.9</v>
      </c>
      <c r="G93" s="61"/>
      <c r="H93" s="73"/>
      <c r="I93" s="73"/>
      <c r="J93" s="73"/>
      <c r="K93" s="61"/>
    </row>
    <row r="94" spans="1:11" ht="13.5" customHeight="1" x14ac:dyDescent="0.2">
      <c r="A94" s="68" t="s">
        <v>94</v>
      </c>
      <c r="B94" s="64" t="s">
        <v>55</v>
      </c>
      <c r="C94" s="23">
        <v>2202.6</v>
      </c>
      <c r="D94" s="72"/>
      <c r="E94" s="23">
        <v>1248.4000000000001</v>
      </c>
      <c r="F94" s="23">
        <v>148.6</v>
      </c>
      <c r="G94" s="60">
        <f>783.2+1.6</f>
        <v>784.80000000000007</v>
      </c>
      <c r="H94" s="72"/>
      <c r="I94" s="72"/>
      <c r="J94" s="72"/>
      <c r="K94" s="60">
        <v>20.8</v>
      </c>
    </row>
    <row r="95" spans="1:11" ht="13.5" customHeight="1" x14ac:dyDescent="0.2">
      <c r="A95" s="69"/>
      <c r="B95" s="65"/>
      <c r="C95" s="14">
        <f>+D95+E95+F95+G94+H95+J95+K94</f>
        <v>2234.5000000000005</v>
      </c>
      <c r="D95" s="73"/>
      <c r="E95" s="14">
        <f>1248.4+21.6</f>
        <v>1270</v>
      </c>
      <c r="F95" s="14">
        <f>148.6+10.3</f>
        <v>158.9</v>
      </c>
      <c r="G95" s="61"/>
      <c r="H95" s="73"/>
      <c r="I95" s="73"/>
      <c r="J95" s="73"/>
      <c r="K95" s="61"/>
    </row>
    <row r="96" spans="1:11" ht="13.5" customHeight="1" x14ac:dyDescent="0.2">
      <c r="A96" s="66">
        <v>23</v>
      </c>
      <c r="B96" s="62" t="s">
        <v>22</v>
      </c>
      <c r="C96" s="23">
        <v>798.8</v>
      </c>
      <c r="D96" s="72"/>
      <c r="E96" s="23">
        <v>31.5</v>
      </c>
      <c r="F96" s="23">
        <v>525.9</v>
      </c>
      <c r="G96" s="23">
        <v>59.9</v>
      </c>
      <c r="H96" s="72"/>
      <c r="I96" s="72"/>
      <c r="J96" s="72"/>
      <c r="K96" s="60">
        <f>+K98</f>
        <v>181.5</v>
      </c>
    </row>
    <row r="97" spans="1:11" ht="13.5" customHeight="1" x14ac:dyDescent="0.2">
      <c r="A97" s="67"/>
      <c r="B97" s="63"/>
      <c r="C97" s="14">
        <f>+C99</f>
        <v>801.8</v>
      </c>
      <c r="D97" s="73"/>
      <c r="E97" s="14">
        <f t="shared" ref="E97:G97" si="30">+E99</f>
        <v>46.5</v>
      </c>
      <c r="F97" s="14">
        <f t="shared" si="30"/>
        <v>510.9</v>
      </c>
      <c r="G97" s="14">
        <f t="shared" si="30"/>
        <v>62.9</v>
      </c>
      <c r="H97" s="73"/>
      <c r="I97" s="73"/>
      <c r="J97" s="73"/>
      <c r="K97" s="61"/>
    </row>
    <row r="98" spans="1:11" ht="13.5" customHeight="1" x14ac:dyDescent="0.2">
      <c r="A98" s="68" t="s">
        <v>95</v>
      </c>
      <c r="B98" s="64" t="s">
        <v>55</v>
      </c>
      <c r="C98" s="23">
        <v>798.8</v>
      </c>
      <c r="D98" s="72"/>
      <c r="E98" s="23">
        <v>31.5</v>
      </c>
      <c r="F98" s="23">
        <v>525.9</v>
      </c>
      <c r="G98" s="23">
        <v>59.9</v>
      </c>
      <c r="H98" s="72"/>
      <c r="I98" s="72"/>
      <c r="J98" s="72"/>
      <c r="K98" s="60">
        <v>181.5</v>
      </c>
    </row>
    <row r="99" spans="1:11" ht="13.5" customHeight="1" x14ac:dyDescent="0.2">
      <c r="A99" s="69"/>
      <c r="B99" s="65"/>
      <c r="C99" s="14">
        <f>+D99+E99+F99+G99+H99+J99+K98</f>
        <v>801.8</v>
      </c>
      <c r="D99" s="73"/>
      <c r="E99" s="14">
        <f>31.5+15</f>
        <v>46.5</v>
      </c>
      <c r="F99" s="14">
        <f>569-43.1-15</f>
        <v>510.9</v>
      </c>
      <c r="G99" s="14">
        <f>59.9+3</f>
        <v>62.9</v>
      </c>
      <c r="H99" s="73"/>
      <c r="I99" s="73"/>
      <c r="J99" s="73"/>
      <c r="K99" s="61"/>
    </row>
    <row r="100" spans="1:11" ht="13.5" customHeight="1" x14ac:dyDescent="0.2">
      <c r="A100" s="46">
        <v>24</v>
      </c>
      <c r="B100" s="47" t="s">
        <v>23</v>
      </c>
      <c r="C100" s="41">
        <f>+C101</f>
        <v>616.30000000000007</v>
      </c>
      <c r="D100" s="42">
        <f t="shared" ref="D100:H100" si="31">+D101</f>
        <v>0</v>
      </c>
      <c r="E100" s="42">
        <f t="shared" si="31"/>
        <v>0</v>
      </c>
      <c r="F100" s="42">
        <f t="shared" si="31"/>
        <v>501</v>
      </c>
      <c r="G100" s="42">
        <f t="shared" si="31"/>
        <v>40.700000000000003</v>
      </c>
      <c r="H100" s="42">
        <f t="shared" si="31"/>
        <v>0</v>
      </c>
      <c r="I100" s="42"/>
      <c r="J100" s="42">
        <f t="shared" ref="J100:K100" si="32">+J101</f>
        <v>0</v>
      </c>
      <c r="K100" s="42">
        <f t="shared" si="32"/>
        <v>74.599999999999994</v>
      </c>
    </row>
    <row r="101" spans="1:11" ht="13.5" customHeight="1" x14ac:dyDescent="0.2">
      <c r="A101" s="43" t="s">
        <v>96</v>
      </c>
      <c r="B101" s="44" t="s">
        <v>55</v>
      </c>
      <c r="C101" s="41">
        <f t="shared" si="12"/>
        <v>616.30000000000007</v>
      </c>
      <c r="D101" s="42"/>
      <c r="E101" s="42"/>
      <c r="F101" s="42">
        <f>532.4-31.4</f>
        <v>501</v>
      </c>
      <c r="G101" s="42">
        <v>40.700000000000003</v>
      </c>
      <c r="H101" s="42"/>
      <c r="I101" s="42"/>
      <c r="J101" s="42"/>
      <c r="K101" s="42">
        <v>74.599999999999994</v>
      </c>
    </row>
    <row r="102" spans="1:11" ht="13.5" customHeight="1" x14ac:dyDescent="0.2">
      <c r="A102" s="66">
        <v>25</v>
      </c>
      <c r="B102" s="62" t="s">
        <v>24</v>
      </c>
      <c r="C102" s="76">
        <f>+C104</f>
        <v>1668.6000000000001</v>
      </c>
      <c r="D102" s="72"/>
      <c r="E102" s="23">
        <v>41.2</v>
      </c>
      <c r="F102" s="23">
        <v>1300.7</v>
      </c>
      <c r="G102" s="60">
        <f>+G104</f>
        <v>187.7</v>
      </c>
      <c r="H102" s="72"/>
      <c r="I102" s="72"/>
      <c r="J102" s="72"/>
      <c r="K102" s="60">
        <f>+K104</f>
        <v>139</v>
      </c>
    </row>
    <row r="103" spans="1:11" ht="13.5" customHeight="1" x14ac:dyDescent="0.2">
      <c r="A103" s="67"/>
      <c r="B103" s="63"/>
      <c r="C103" s="77"/>
      <c r="D103" s="73">
        <f t="shared" ref="D103:H117" si="33">+D105</f>
        <v>0</v>
      </c>
      <c r="E103" s="14">
        <f t="shared" si="33"/>
        <v>61.7</v>
      </c>
      <c r="F103" s="14">
        <f t="shared" si="33"/>
        <v>1280.2</v>
      </c>
      <c r="G103" s="61"/>
      <c r="H103" s="73">
        <f t="shared" si="33"/>
        <v>0</v>
      </c>
      <c r="I103" s="73"/>
      <c r="J103" s="73">
        <f t="shared" ref="J103:J117" si="34">+J105</f>
        <v>0</v>
      </c>
      <c r="K103" s="61"/>
    </row>
    <row r="104" spans="1:11" ht="13.5" customHeight="1" x14ac:dyDescent="0.2">
      <c r="A104" s="68" t="s">
        <v>97</v>
      </c>
      <c r="B104" s="64" t="s">
        <v>55</v>
      </c>
      <c r="C104" s="76">
        <f>+D105+E105+F105+G104+H105+J105+K104</f>
        <v>1668.6000000000001</v>
      </c>
      <c r="D104" s="72"/>
      <c r="E104" s="23">
        <v>41.2</v>
      </c>
      <c r="F104" s="23">
        <v>1300.7</v>
      </c>
      <c r="G104" s="60">
        <v>187.7</v>
      </c>
      <c r="H104" s="72"/>
      <c r="I104" s="72"/>
      <c r="J104" s="72"/>
      <c r="K104" s="60">
        <v>139</v>
      </c>
    </row>
    <row r="105" spans="1:11" ht="13.5" customHeight="1" x14ac:dyDescent="0.2">
      <c r="A105" s="69"/>
      <c r="B105" s="65"/>
      <c r="C105" s="77"/>
      <c r="D105" s="73"/>
      <c r="E105" s="14">
        <f>41.2+20.5</f>
        <v>61.7</v>
      </c>
      <c r="F105" s="14">
        <f>1430.8-130.1-20.5</f>
        <v>1280.2</v>
      </c>
      <c r="G105" s="61"/>
      <c r="H105" s="73">
        <f t="shared" si="33"/>
        <v>0</v>
      </c>
      <c r="I105" s="73"/>
      <c r="J105" s="73">
        <f t="shared" si="34"/>
        <v>0</v>
      </c>
      <c r="K105" s="61"/>
    </row>
    <row r="106" spans="1:11" ht="13.5" customHeight="1" x14ac:dyDescent="0.2">
      <c r="A106" s="66">
        <v>26</v>
      </c>
      <c r="B106" s="62" t="s">
        <v>25</v>
      </c>
      <c r="C106" s="23">
        <v>1709.1</v>
      </c>
      <c r="D106" s="72"/>
      <c r="E106" s="23">
        <v>1077.4000000000001</v>
      </c>
      <c r="F106" s="60">
        <f>+F108</f>
        <v>204.5</v>
      </c>
      <c r="G106" s="60">
        <f>+G108</f>
        <v>411.59999999999997</v>
      </c>
      <c r="H106" s="72"/>
      <c r="I106" s="72"/>
      <c r="J106" s="72"/>
      <c r="K106" s="60">
        <f>+K108</f>
        <v>15.6</v>
      </c>
    </row>
    <row r="107" spans="1:11" ht="13.5" customHeight="1" x14ac:dyDescent="0.2">
      <c r="A107" s="67"/>
      <c r="B107" s="63"/>
      <c r="C107" s="14">
        <f>+C109</f>
        <v>1198.3999999999999</v>
      </c>
      <c r="D107" s="73">
        <f t="shared" ref="D107:E107" si="35">+D109</f>
        <v>0</v>
      </c>
      <c r="E107" s="14">
        <f t="shared" si="35"/>
        <v>566.70000000000005</v>
      </c>
      <c r="F107" s="61"/>
      <c r="G107" s="61"/>
      <c r="H107" s="73">
        <f t="shared" si="33"/>
        <v>0</v>
      </c>
      <c r="I107" s="73"/>
      <c r="J107" s="73">
        <f t="shared" si="34"/>
        <v>0</v>
      </c>
      <c r="K107" s="61"/>
    </row>
    <row r="108" spans="1:11" ht="13.5" customHeight="1" x14ac:dyDescent="0.2">
      <c r="A108" s="68" t="s">
        <v>98</v>
      </c>
      <c r="B108" s="64" t="s">
        <v>55</v>
      </c>
      <c r="C108" s="23">
        <v>1709.1</v>
      </c>
      <c r="D108" s="72"/>
      <c r="E108" s="23">
        <v>1077.4000000000001</v>
      </c>
      <c r="F108" s="60">
        <v>204.5</v>
      </c>
      <c r="G108" s="60">
        <f>353.4+58.2</f>
        <v>411.59999999999997</v>
      </c>
      <c r="H108" s="72"/>
      <c r="I108" s="72"/>
      <c r="J108" s="72"/>
      <c r="K108" s="60">
        <v>15.6</v>
      </c>
    </row>
    <row r="109" spans="1:11" ht="13.5" customHeight="1" x14ac:dyDescent="0.2">
      <c r="A109" s="69"/>
      <c r="B109" s="65"/>
      <c r="C109" s="14">
        <f>+D109+E109+F108+G108+H109+J109+K108</f>
        <v>1198.3999999999999</v>
      </c>
      <c r="D109" s="73"/>
      <c r="E109" s="14">
        <f>1077.4-510.7</f>
        <v>566.70000000000005</v>
      </c>
      <c r="F109" s="61"/>
      <c r="G109" s="61"/>
      <c r="H109" s="73">
        <f t="shared" si="33"/>
        <v>0</v>
      </c>
      <c r="I109" s="73"/>
      <c r="J109" s="73">
        <f t="shared" si="34"/>
        <v>0</v>
      </c>
      <c r="K109" s="61"/>
    </row>
    <row r="110" spans="1:11" ht="13.5" customHeight="1" x14ac:dyDescent="0.2">
      <c r="A110" s="66">
        <v>27</v>
      </c>
      <c r="B110" s="62" t="s">
        <v>26</v>
      </c>
      <c r="C110" s="76">
        <f>+C112</f>
        <v>1692.8</v>
      </c>
      <c r="D110" s="72"/>
      <c r="E110" s="23">
        <v>82.3</v>
      </c>
      <c r="F110" s="23">
        <v>1371.6</v>
      </c>
      <c r="G110" s="60">
        <f>+G112</f>
        <v>31</v>
      </c>
      <c r="H110" s="72"/>
      <c r="I110" s="72"/>
      <c r="J110" s="72"/>
      <c r="K110" s="60">
        <f>+K112</f>
        <v>207.9</v>
      </c>
    </row>
    <row r="111" spans="1:11" ht="13.5" customHeight="1" x14ac:dyDescent="0.2">
      <c r="A111" s="67"/>
      <c r="B111" s="63"/>
      <c r="C111" s="77"/>
      <c r="D111" s="73">
        <f t="shared" ref="D111:F111" si="36">+D113</f>
        <v>0</v>
      </c>
      <c r="E111" s="14">
        <f t="shared" si="36"/>
        <v>46.8</v>
      </c>
      <c r="F111" s="14">
        <f t="shared" si="36"/>
        <v>1407.1</v>
      </c>
      <c r="G111" s="61"/>
      <c r="H111" s="73">
        <f t="shared" si="33"/>
        <v>0</v>
      </c>
      <c r="I111" s="73"/>
      <c r="J111" s="73">
        <f t="shared" si="34"/>
        <v>0</v>
      </c>
      <c r="K111" s="61"/>
    </row>
    <row r="112" spans="1:11" ht="13.5" customHeight="1" x14ac:dyDescent="0.2">
      <c r="A112" s="68" t="s">
        <v>99</v>
      </c>
      <c r="B112" s="64" t="s">
        <v>55</v>
      </c>
      <c r="C112" s="76">
        <f>+D113+E113+F113+G112+H113+J113+K112</f>
        <v>1692.8</v>
      </c>
      <c r="D112" s="72"/>
      <c r="E112" s="23">
        <v>82.3</v>
      </c>
      <c r="F112" s="23">
        <v>1371.6</v>
      </c>
      <c r="G112" s="60">
        <v>31</v>
      </c>
      <c r="H112" s="72"/>
      <c r="I112" s="72"/>
      <c r="J112" s="72"/>
      <c r="K112" s="60">
        <v>207.9</v>
      </c>
    </row>
    <row r="113" spans="1:11" ht="13.5" customHeight="1" x14ac:dyDescent="0.2">
      <c r="A113" s="69"/>
      <c r="B113" s="65"/>
      <c r="C113" s="77"/>
      <c r="D113" s="73"/>
      <c r="E113" s="14">
        <f>82.3-35.5</f>
        <v>46.8</v>
      </c>
      <c r="F113" s="14">
        <f>1427.6-56+35.5</f>
        <v>1407.1</v>
      </c>
      <c r="G113" s="61"/>
      <c r="H113" s="73">
        <f t="shared" si="33"/>
        <v>0</v>
      </c>
      <c r="I113" s="73"/>
      <c r="J113" s="73">
        <f t="shared" si="34"/>
        <v>0</v>
      </c>
      <c r="K113" s="61"/>
    </row>
    <row r="114" spans="1:11" ht="13.5" customHeight="1" x14ac:dyDescent="0.2">
      <c r="A114" s="66">
        <v>28</v>
      </c>
      <c r="B114" s="62" t="s">
        <v>27</v>
      </c>
      <c r="C114" s="23">
        <v>2203.3000000000002</v>
      </c>
      <c r="D114" s="72"/>
      <c r="E114" s="72"/>
      <c r="F114" s="76">
        <f>+F116</f>
        <v>1958.3</v>
      </c>
      <c r="G114" s="23">
        <v>150</v>
      </c>
      <c r="H114" s="72"/>
      <c r="I114" s="72"/>
      <c r="J114" s="72"/>
      <c r="K114" s="60">
        <f>+K116</f>
        <v>95</v>
      </c>
    </row>
    <row r="115" spans="1:11" ht="13.5" customHeight="1" x14ac:dyDescent="0.2">
      <c r="A115" s="67"/>
      <c r="B115" s="63"/>
      <c r="C115" s="14">
        <f>+C117</f>
        <v>2210.8000000000002</v>
      </c>
      <c r="D115" s="73">
        <f t="shared" ref="D115:G115" si="37">+D117</f>
        <v>0</v>
      </c>
      <c r="E115" s="73">
        <f t="shared" si="37"/>
        <v>0</v>
      </c>
      <c r="F115" s="77"/>
      <c r="G115" s="14">
        <f t="shared" si="37"/>
        <v>157.5</v>
      </c>
      <c r="H115" s="73">
        <f t="shared" si="33"/>
        <v>0</v>
      </c>
      <c r="I115" s="73"/>
      <c r="J115" s="73">
        <f t="shared" si="34"/>
        <v>0</v>
      </c>
      <c r="K115" s="61"/>
    </row>
    <row r="116" spans="1:11" ht="13.5" customHeight="1" x14ac:dyDescent="0.2">
      <c r="A116" s="68" t="s">
        <v>101</v>
      </c>
      <c r="B116" s="64" t="s">
        <v>55</v>
      </c>
      <c r="C116" s="23">
        <v>2203.3000000000002</v>
      </c>
      <c r="D116" s="72"/>
      <c r="E116" s="72"/>
      <c r="F116" s="76">
        <v>1958.3</v>
      </c>
      <c r="G116" s="23">
        <v>150</v>
      </c>
      <c r="H116" s="72"/>
      <c r="I116" s="72"/>
      <c r="J116" s="72"/>
      <c r="K116" s="60">
        <f>80+5+10</f>
        <v>95</v>
      </c>
    </row>
    <row r="117" spans="1:11" ht="13.5" customHeight="1" x14ac:dyDescent="0.2">
      <c r="A117" s="69"/>
      <c r="B117" s="65"/>
      <c r="C117" s="14">
        <f>+D117+E117+F116+G117+H117+J117+K116</f>
        <v>2210.8000000000002</v>
      </c>
      <c r="D117" s="73"/>
      <c r="E117" s="73"/>
      <c r="F117" s="77"/>
      <c r="G117" s="14">
        <f>150+7.5</f>
        <v>157.5</v>
      </c>
      <c r="H117" s="73">
        <f t="shared" si="33"/>
        <v>0</v>
      </c>
      <c r="I117" s="73"/>
      <c r="J117" s="73">
        <f t="shared" si="34"/>
        <v>0</v>
      </c>
      <c r="K117" s="61"/>
    </row>
    <row r="118" spans="1:11" ht="13.5" customHeight="1" x14ac:dyDescent="0.2">
      <c r="A118" s="46">
        <v>29</v>
      </c>
      <c r="B118" s="48" t="s">
        <v>28</v>
      </c>
      <c r="C118" s="41">
        <f>+C119</f>
        <v>446.59999999999997</v>
      </c>
      <c r="D118" s="42">
        <f t="shared" ref="D118:H118" si="38">+D119</f>
        <v>0</v>
      </c>
      <c r="E118" s="42">
        <f t="shared" si="38"/>
        <v>0</v>
      </c>
      <c r="F118" s="42">
        <f t="shared" si="38"/>
        <v>439.9</v>
      </c>
      <c r="G118" s="42">
        <f t="shared" si="38"/>
        <v>0</v>
      </c>
      <c r="H118" s="42">
        <f t="shared" si="38"/>
        <v>0</v>
      </c>
      <c r="I118" s="42"/>
      <c r="J118" s="42">
        <f t="shared" ref="J118:K118" si="39">+J119</f>
        <v>0</v>
      </c>
      <c r="K118" s="42">
        <f t="shared" si="39"/>
        <v>6.7</v>
      </c>
    </row>
    <row r="119" spans="1:11" ht="13.5" customHeight="1" x14ac:dyDescent="0.2">
      <c r="A119" s="43" t="s">
        <v>102</v>
      </c>
      <c r="B119" s="44" t="s">
        <v>55</v>
      </c>
      <c r="C119" s="41">
        <f t="shared" si="12"/>
        <v>446.59999999999997</v>
      </c>
      <c r="D119" s="42"/>
      <c r="E119" s="42"/>
      <c r="F119" s="42">
        <v>439.9</v>
      </c>
      <c r="G119" s="42"/>
      <c r="H119" s="42"/>
      <c r="I119" s="42"/>
      <c r="J119" s="42"/>
      <c r="K119" s="42">
        <v>6.7</v>
      </c>
    </row>
    <row r="120" spans="1:11" ht="13.5" customHeight="1" x14ac:dyDescent="0.2">
      <c r="A120" s="46">
        <v>30</v>
      </c>
      <c r="B120" s="47" t="s">
        <v>29</v>
      </c>
      <c r="C120" s="41">
        <f>+C121</f>
        <v>343.20000000000005</v>
      </c>
      <c r="D120" s="42">
        <f t="shared" ref="D120:H120" si="40">+D121</f>
        <v>0</v>
      </c>
      <c r="E120" s="42">
        <f t="shared" si="40"/>
        <v>0</v>
      </c>
      <c r="F120" s="42">
        <f t="shared" si="40"/>
        <v>338.6</v>
      </c>
      <c r="G120" s="42">
        <f t="shared" si="40"/>
        <v>0</v>
      </c>
      <c r="H120" s="42">
        <f t="shared" si="40"/>
        <v>0</v>
      </c>
      <c r="I120" s="42"/>
      <c r="J120" s="42">
        <f t="shared" ref="J120:K120" si="41">+J121</f>
        <v>0</v>
      </c>
      <c r="K120" s="42">
        <f t="shared" si="41"/>
        <v>4.5999999999999996</v>
      </c>
    </row>
    <row r="121" spans="1:11" ht="13.5" customHeight="1" x14ac:dyDescent="0.2">
      <c r="A121" s="43" t="s">
        <v>103</v>
      </c>
      <c r="B121" s="44" t="s">
        <v>55</v>
      </c>
      <c r="C121" s="41">
        <f t="shared" si="12"/>
        <v>343.20000000000005</v>
      </c>
      <c r="D121" s="42"/>
      <c r="E121" s="42"/>
      <c r="F121" s="42">
        <v>338.6</v>
      </c>
      <c r="G121" s="42"/>
      <c r="H121" s="42"/>
      <c r="I121" s="42"/>
      <c r="J121" s="42"/>
      <c r="K121" s="42">
        <f>2.7+1.9</f>
        <v>4.5999999999999996</v>
      </c>
    </row>
    <row r="122" spans="1:11" ht="13.5" customHeight="1" x14ac:dyDescent="0.2">
      <c r="A122" s="46">
        <v>31</v>
      </c>
      <c r="B122" s="47" t="s">
        <v>30</v>
      </c>
      <c r="C122" s="41">
        <f>+C123</f>
        <v>348.09999999999997</v>
      </c>
      <c r="D122" s="42">
        <f t="shared" ref="D122:H122" si="42">+D123</f>
        <v>0</v>
      </c>
      <c r="E122" s="42">
        <f t="shared" si="42"/>
        <v>0</v>
      </c>
      <c r="F122" s="42">
        <f t="shared" si="42"/>
        <v>343.2</v>
      </c>
      <c r="G122" s="42">
        <f t="shared" si="42"/>
        <v>0</v>
      </c>
      <c r="H122" s="42">
        <f t="shared" si="42"/>
        <v>0</v>
      </c>
      <c r="I122" s="42"/>
      <c r="J122" s="42">
        <f t="shared" ref="J122:K122" si="43">+J123</f>
        <v>0</v>
      </c>
      <c r="K122" s="42">
        <f t="shared" si="43"/>
        <v>4.9000000000000004</v>
      </c>
    </row>
    <row r="123" spans="1:11" ht="13.5" customHeight="1" x14ac:dyDescent="0.2">
      <c r="A123" s="43" t="s">
        <v>104</v>
      </c>
      <c r="B123" s="44" t="s">
        <v>55</v>
      </c>
      <c r="C123" s="41">
        <f t="shared" si="12"/>
        <v>348.09999999999997</v>
      </c>
      <c r="D123" s="42"/>
      <c r="E123" s="42"/>
      <c r="F123" s="42">
        <v>343.2</v>
      </c>
      <c r="G123" s="42"/>
      <c r="H123" s="42"/>
      <c r="I123" s="42"/>
      <c r="J123" s="42"/>
      <c r="K123" s="42">
        <v>4.9000000000000004</v>
      </c>
    </row>
    <row r="124" spans="1:11" ht="13.5" customHeight="1" x14ac:dyDescent="0.2">
      <c r="A124" s="46">
        <v>32</v>
      </c>
      <c r="B124" s="47" t="s">
        <v>31</v>
      </c>
      <c r="C124" s="41">
        <f>+C125</f>
        <v>251.79999999999998</v>
      </c>
      <c r="D124" s="42">
        <f t="shared" ref="D124:H124" si="44">+D125</f>
        <v>0</v>
      </c>
      <c r="E124" s="42">
        <f t="shared" si="44"/>
        <v>0</v>
      </c>
      <c r="F124" s="42">
        <f t="shared" si="44"/>
        <v>250.6</v>
      </c>
      <c r="G124" s="42">
        <f t="shared" si="44"/>
        <v>0</v>
      </c>
      <c r="H124" s="42">
        <f t="shared" si="44"/>
        <v>0</v>
      </c>
      <c r="I124" s="42"/>
      <c r="J124" s="42">
        <f t="shared" ref="J124:K124" si="45">+J125</f>
        <v>0</v>
      </c>
      <c r="K124" s="42">
        <f t="shared" si="45"/>
        <v>1.2</v>
      </c>
    </row>
    <row r="125" spans="1:11" ht="13.5" customHeight="1" x14ac:dyDescent="0.2">
      <c r="A125" s="43" t="s">
        <v>105</v>
      </c>
      <c r="B125" s="44" t="s">
        <v>55</v>
      </c>
      <c r="C125" s="41">
        <f t="shared" si="12"/>
        <v>251.79999999999998</v>
      </c>
      <c r="D125" s="42"/>
      <c r="E125" s="42"/>
      <c r="F125" s="42">
        <v>250.6</v>
      </c>
      <c r="G125" s="42"/>
      <c r="H125" s="42"/>
      <c r="I125" s="42"/>
      <c r="J125" s="42"/>
      <c r="K125" s="42">
        <v>1.2</v>
      </c>
    </row>
    <row r="126" spans="1:11" ht="13.5" customHeight="1" x14ac:dyDescent="0.2">
      <c r="A126" s="46">
        <v>33</v>
      </c>
      <c r="B126" s="47" t="s">
        <v>32</v>
      </c>
      <c r="C126" s="41">
        <f>+C127</f>
        <v>181.1</v>
      </c>
      <c r="D126" s="42">
        <f t="shared" ref="D126:H126" si="46">+D127</f>
        <v>0</v>
      </c>
      <c r="E126" s="42">
        <f t="shared" si="46"/>
        <v>0</v>
      </c>
      <c r="F126" s="42">
        <f t="shared" si="46"/>
        <v>179.5</v>
      </c>
      <c r="G126" s="42">
        <f t="shared" si="46"/>
        <v>0</v>
      </c>
      <c r="H126" s="42">
        <f t="shared" si="46"/>
        <v>0</v>
      </c>
      <c r="I126" s="42"/>
      <c r="J126" s="42">
        <f t="shared" ref="J126:K126" si="47">+J127</f>
        <v>0</v>
      </c>
      <c r="K126" s="42">
        <f t="shared" si="47"/>
        <v>1.6</v>
      </c>
    </row>
    <row r="127" spans="1:11" ht="13.5" customHeight="1" x14ac:dyDescent="0.2">
      <c r="A127" s="43" t="s">
        <v>106</v>
      </c>
      <c r="B127" s="44" t="s">
        <v>55</v>
      </c>
      <c r="C127" s="41">
        <f>+D127+E127+F127+G127+H127+J127+K127</f>
        <v>181.1</v>
      </c>
      <c r="D127" s="42"/>
      <c r="E127" s="42"/>
      <c r="F127" s="42">
        <f>172.6+6.9</f>
        <v>179.5</v>
      </c>
      <c r="G127" s="42"/>
      <c r="H127" s="42"/>
      <c r="I127" s="42"/>
      <c r="J127" s="42"/>
      <c r="K127" s="42">
        <v>1.6</v>
      </c>
    </row>
    <row r="128" spans="1:11" ht="13.5" customHeight="1" x14ac:dyDescent="0.2">
      <c r="A128" s="66">
        <v>34</v>
      </c>
      <c r="B128" s="78" t="s">
        <v>33</v>
      </c>
      <c r="C128" s="23">
        <v>1780.2</v>
      </c>
      <c r="D128" s="72"/>
      <c r="E128" s="72"/>
      <c r="F128" s="76">
        <f>+F130</f>
        <v>1711.9</v>
      </c>
      <c r="G128" s="23">
        <v>55.6</v>
      </c>
      <c r="H128" s="72"/>
      <c r="I128" s="72"/>
      <c r="J128" s="72"/>
      <c r="K128" s="60">
        <f>+K130</f>
        <v>12.7</v>
      </c>
    </row>
    <row r="129" spans="1:11" x14ac:dyDescent="0.2">
      <c r="A129" s="67"/>
      <c r="B129" s="79"/>
      <c r="C129" s="14">
        <f>+C131</f>
        <v>1785.7</v>
      </c>
      <c r="D129" s="73">
        <f t="shared" ref="D129:H135" si="48">+D131</f>
        <v>0</v>
      </c>
      <c r="E129" s="73">
        <f t="shared" si="48"/>
        <v>0</v>
      </c>
      <c r="F129" s="77"/>
      <c r="G129" s="14">
        <f t="shared" si="48"/>
        <v>61.1</v>
      </c>
      <c r="H129" s="73">
        <f t="shared" si="48"/>
        <v>0</v>
      </c>
      <c r="I129" s="73"/>
      <c r="J129" s="73">
        <f t="shared" ref="J129:J135" si="49">+J131</f>
        <v>0</v>
      </c>
      <c r="K129" s="61"/>
    </row>
    <row r="130" spans="1:11" ht="15" customHeight="1" x14ac:dyDescent="0.2">
      <c r="A130" s="68" t="s">
        <v>107</v>
      </c>
      <c r="B130" s="64" t="s">
        <v>55</v>
      </c>
      <c r="C130" s="23">
        <v>1780.2</v>
      </c>
      <c r="D130" s="72"/>
      <c r="E130" s="72"/>
      <c r="F130" s="76">
        <v>1711.9</v>
      </c>
      <c r="G130" s="23">
        <v>55.6</v>
      </c>
      <c r="H130" s="72"/>
      <c r="I130" s="72"/>
      <c r="J130" s="72"/>
      <c r="K130" s="60">
        <v>12.7</v>
      </c>
    </row>
    <row r="131" spans="1:11" ht="13.5" customHeight="1" x14ac:dyDescent="0.2">
      <c r="A131" s="69"/>
      <c r="B131" s="65"/>
      <c r="C131" s="14">
        <f>+D131+E131+F130+G131+H131+J131+K130</f>
        <v>1785.7</v>
      </c>
      <c r="D131" s="73"/>
      <c r="E131" s="73"/>
      <c r="F131" s="77"/>
      <c r="G131" s="14">
        <f>55.6+5.5</f>
        <v>61.1</v>
      </c>
      <c r="H131" s="73">
        <f t="shared" si="48"/>
        <v>0</v>
      </c>
      <c r="I131" s="73"/>
      <c r="J131" s="73">
        <f t="shared" si="49"/>
        <v>0</v>
      </c>
      <c r="K131" s="61"/>
    </row>
    <row r="132" spans="1:11" ht="13.5" customHeight="1" x14ac:dyDescent="0.2">
      <c r="A132" s="66">
        <v>35</v>
      </c>
      <c r="B132" s="62" t="s">
        <v>34</v>
      </c>
      <c r="C132" s="23">
        <v>981.1</v>
      </c>
      <c r="D132" s="72"/>
      <c r="E132" s="72"/>
      <c r="F132" s="60">
        <f>+F134</f>
        <v>916.4</v>
      </c>
      <c r="G132" s="23">
        <v>0</v>
      </c>
      <c r="H132" s="72"/>
      <c r="I132" s="72"/>
      <c r="J132" s="72"/>
      <c r="K132" s="60">
        <f>+K134</f>
        <v>64.7</v>
      </c>
    </row>
    <row r="133" spans="1:11" ht="13.5" customHeight="1" x14ac:dyDescent="0.2">
      <c r="A133" s="67"/>
      <c r="B133" s="63"/>
      <c r="C133" s="14">
        <f>+C135</f>
        <v>1020.6</v>
      </c>
      <c r="D133" s="73">
        <f t="shared" ref="D133:G133" si="50">+D135</f>
        <v>0</v>
      </c>
      <c r="E133" s="73">
        <f t="shared" si="50"/>
        <v>0</v>
      </c>
      <c r="F133" s="61"/>
      <c r="G133" s="14">
        <f t="shared" si="50"/>
        <v>39.5</v>
      </c>
      <c r="H133" s="73">
        <f t="shared" si="48"/>
        <v>0</v>
      </c>
      <c r="I133" s="73"/>
      <c r="J133" s="73">
        <f t="shared" si="49"/>
        <v>0</v>
      </c>
      <c r="K133" s="61"/>
    </row>
    <row r="134" spans="1:11" ht="13.5" customHeight="1" x14ac:dyDescent="0.2">
      <c r="A134" s="68" t="s">
        <v>108</v>
      </c>
      <c r="B134" s="64" t="s">
        <v>55</v>
      </c>
      <c r="C134" s="23">
        <v>981.1</v>
      </c>
      <c r="D134" s="72"/>
      <c r="E134" s="72"/>
      <c r="F134" s="60">
        <v>916.4</v>
      </c>
      <c r="G134" s="23">
        <v>0</v>
      </c>
      <c r="H134" s="72"/>
      <c r="I134" s="72"/>
      <c r="J134" s="72"/>
      <c r="K134" s="60">
        <f>64.2+0.5</f>
        <v>64.7</v>
      </c>
    </row>
    <row r="135" spans="1:11" ht="13.5" customHeight="1" x14ac:dyDescent="0.2">
      <c r="A135" s="69"/>
      <c r="B135" s="65"/>
      <c r="C135" s="14">
        <f>+D135+E135+F134+G135+H135+J135+K134+I135</f>
        <v>1020.6</v>
      </c>
      <c r="D135" s="73"/>
      <c r="E135" s="73"/>
      <c r="F135" s="61"/>
      <c r="G135" s="14">
        <v>39.5</v>
      </c>
      <c r="H135" s="73">
        <f t="shared" si="48"/>
        <v>0</v>
      </c>
      <c r="I135" s="73"/>
      <c r="J135" s="73">
        <f t="shared" si="49"/>
        <v>0</v>
      </c>
      <c r="K135" s="61"/>
    </row>
    <row r="136" spans="1:11" ht="25.5" x14ac:dyDescent="0.2">
      <c r="A136" s="46">
        <v>36</v>
      </c>
      <c r="B136" s="40" t="s">
        <v>35</v>
      </c>
      <c r="C136" s="41">
        <f>+C137</f>
        <v>1696.6</v>
      </c>
      <c r="D136" s="42">
        <f t="shared" ref="D136:H136" si="51">+D137</f>
        <v>1605</v>
      </c>
      <c r="E136" s="42">
        <f t="shared" si="51"/>
        <v>0</v>
      </c>
      <c r="F136" s="42">
        <f t="shared" si="51"/>
        <v>90</v>
      </c>
      <c r="G136" s="42">
        <f t="shared" si="51"/>
        <v>0</v>
      </c>
      <c r="H136" s="42">
        <f t="shared" si="51"/>
        <v>0</v>
      </c>
      <c r="I136" s="42"/>
      <c r="J136" s="42">
        <f t="shared" ref="J136:K136" si="52">+J137</f>
        <v>0</v>
      </c>
      <c r="K136" s="42">
        <f t="shared" si="52"/>
        <v>1.6</v>
      </c>
    </row>
    <row r="137" spans="1:11" ht="13.5" customHeight="1" x14ac:dyDescent="0.2">
      <c r="A137" s="43" t="s">
        <v>109</v>
      </c>
      <c r="B137" s="44" t="s">
        <v>56</v>
      </c>
      <c r="C137" s="41">
        <f>+D137+E137+F137+G137+H137+J137+K137</f>
        <v>1696.6</v>
      </c>
      <c r="D137" s="42">
        <f>1578+27</f>
        <v>1605</v>
      </c>
      <c r="E137" s="42"/>
      <c r="F137" s="42">
        <v>90</v>
      </c>
      <c r="G137" s="42"/>
      <c r="H137" s="42"/>
      <c r="I137" s="42"/>
      <c r="J137" s="42"/>
      <c r="K137" s="42">
        <v>1.6</v>
      </c>
    </row>
    <row r="138" spans="1:11" ht="13.5" customHeight="1" x14ac:dyDescent="0.2">
      <c r="A138" s="66">
        <v>37</v>
      </c>
      <c r="B138" s="78" t="s">
        <v>36</v>
      </c>
      <c r="C138" s="23">
        <v>2704.9</v>
      </c>
      <c r="D138" s="23">
        <v>465</v>
      </c>
      <c r="E138" s="72">
        <f>+E141</f>
        <v>0</v>
      </c>
      <c r="F138" s="76">
        <f>+F140</f>
        <v>2000.1</v>
      </c>
      <c r="G138" s="60">
        <f>+G140</f>
        <v>38.299999999999997</v>
      </c>
      <c r="H138" s="72"/>
      <c r="I138" s="72"/>
      <c r="J138" s="72"/>
      <c r="K138" s="60">
        <f>+K140</f>
        <v>201.5</v>
      </c>
    </row>
    <row r="139" spans="1:11" ht="13.5" customHeight="1" x14ac:dyDescent="0.2">
      <c r="A139" s="67"/>
      <c r="B139" s="79"/>
      <c r="C139" s="14">
        <f>+C141</f>
        <v>2749.9</v>
      </c>
      <c r="D139" s="14">
        <f t="shared" ref="D139:I139" si="53">+D141</f>
        <v>510</v>
      </c>
      <c r="E139" s="73"/>
      <c r="F139" s="77"/>
      <c r="G139" s="61"/>
      <c r="H139" s="73">
        <f t="shared" si="53"/>
        <v>0</v>
      </c>
      <c r="I139" s="73">
        <f t="shared" si="53"/>
        <v>0</v>
      </c>
      <c r="J139" s="73">
        <f t="shared" ref="J139" si="54">+J141</f>
        <v>0</v>
      </c>
      <c r="K139" s="61"/>
    </row>
    <row r="140" spans="1:11" ht="13.5" customHeight="1" x14ac:dyDescent="0.2">
      <c r="A140" s="68" t="s">
        <v>110</v>
      </c>
      <c r="B140" s="64" t="s">
        <v>56</v>
      </c>
      <c r="C140" s="23">
        <v>2704.9</v>
      </c>
      <c r="D140" s="23">
        <v>465</v>
      </c>
      <c r="E140" s="72"/>
      <c r="F140" s="76">
        <v>2000.1</v>
      </c>
      <c r="G140" s="60">
        <f>20.5+17.8</f>
        <v>38.299999999999997</v>
      </c>
      <c r="H140" s="72"/>
      <c r="I140" s="72"/>
      <c r="J140" s="72"/>
      <c r="K140" s="60">
        <v>201.5</v>
      </c>
    </row>
    <row r="141" spans="1:11" ht="13.5" customHeight="1" x14ac:dyDescent="0.2">
      <c r="A141" s="69"/>
      <c r="B141" s="65"/>
      <c r="C141" s="14">
        <f>+D141+E141+F140+G140+H141+J141+K140+I141</f>
        <v>2749.9</v>
      </c>
      <c r="D141" s="14">
        <f>465+45</f>
        <v>510</v>
      </c>
      <c r="E141" s="73"/>
      <c r="F141" s="77"/>
      <c r="G141" s="61"/>
      <c r="H141" s="73"/>
      <c r="I141" s="73"/>
      <c r="J141" s="73"/>
      <c r="K141" s="61"/>
    </row>
    <row r="142" spans="1:11" ht="13.5" customHeight="1" x14ac:dyDescent="0.2">
      <c r="A142" s="66">
        <v>38</v>
      </c>
      <c r="B142" s="62" t="s">
        <v>37</v>
      </c>
      <c r="C142" s="23">
        <v>1155.0999999999999</v>
      </c>
      <c r="D142" s="23">
        <v>240</v>
      </c>
      <c r="E142" s="72"/>
      <c r="F142" s="60">
        <f>+F144</f>
        <v>222.3</v>
      </c>
      <c r="G142" s="60">
        <f>+G144</f>
        <v>6.3</v>
      </c>
      <c r="H142" s="72"/>
      <c r="I142" s="72"/>
      <c r="J142" s="72"/>
      <c r="K142" s="60">
        <f>+K144</f>
        <v>686.5</v>
      </c>
    </row>
    <row r="143" spans="1:11" ht="13.5" customHeight="1" x14ac:dyDescent="0.2">
      <c r="A143" s="67"/>
      <c r="B143" s="63"/>
      <c r="C143" s="14">
        <f>+C145</f>
        <v>1175.0999999999999</v>
      </c>
      <c r="D143" s="14">
        <f t="shared" ref="D143" si="55">+D145</f>
        <v>260</v>
      </c>
      <c r="E143" s="73"/>
      <c r="F143" s="61"/>
      <c r="G143" s="61"/>
      <c r="H143" s="73"/>
      <c r="I143" s="73"/>
      <c r="J143" s="73"/>
      <c r="K143" s="61"/>
    </row>
    <row r="144" spans="1:11" ht="13.5" customHeight="1" x14ac:dyDescent="0.2">
      <c r="A144" s="68" t="s">
        <v>111</v>
      </c>
      <c r="B144" s="64" t="s">
        <v>56</v>
      </c>
      <c r="C144" s="23">
        <v>1155.0999999999999</v>
      </c>
      <c r="D144" s="23">
        <v>240</v>
      </c>
      <c r="E144" s="72"/>
      <c r="F144" s="60">
        <v>222.3</v>
      </c>
      <c r="G144" s="60">
        <f>3+3.3</f>
        <v>6.3</v>
      </c>
      <c r="H144" s="72"/>
      <c r="I144" s="72"/>
      <c r="J144" s="72"/>
      <c r="K144" s="60">
        <v>686.5</v>
      </c>
    </row>
    <row r="145" spans="1:11" ht="13.5" customHeight="1" x14ac:dyDescent="0.2">
      <c r="A145" s="69"/>
      <c r="B145" s="65"/>
      <c r="C145" s="14">
        <f>+D145+E145+F144+G144+H145+J145+K144</f>
        <v>1175.0999999999999</v>
      </c>
      <c r="D145" s="14">
        <f>240+20</f>
        <v>260</v>
      </c>
      <c r="E145" s="73"/>
      <c r="F145" s="61"/>
      <c r="G145" s="61"/>
      <c r="H145" s="73"/>
      <c r="I145" s="73"/>
      <c r="J145" s="73"/>
      <c r="K145" s="61"/>
    </row>
    <row r="146" spans="1:11" ht="13.5" customHeight="1" x14ac:dyDescent="0.2">
      <c r="A146" s="66">
        <v>39</v>
      </c>
      <c r="B146" s="62" t="s">
        <v>38</v>
      </c>
      <c r="C146" s="23">
        <v>1616.2</v>
      </c>
      <c r="D146" s="23">
        <v>175</v>
      </c>
      <c r="E146" s="23">
        <v>194.9</v>
      </c>
      <c r="F146" s="60">
        <f>+F148+F150</f>
        <v>624.79999999999995</v>
      </c>
      <c r="G146" s="60">
        <f>+G148+G150</f>
        <v>16.5</v>
      </c>
      <c r="H146" s="72"/>
      <c r="I146" s="72"/>
      <c r="J146" s="72"/>
      <c r="K146" s="60">
        <f>+K148+K150</f>
        <v>605</v>
      </c>
    </row>
    <row r="147" spans="1:11" ht="13.5" customHeight="1" x14ac:dyDescent="0.2">
      <c r="A147" s="67"/>
      <c r="B147" s="63"/>
      <c r="C147" s="14">
        <f>+C149+C151</f>
        <v>1642.2</v>
      </c>
      <c r="D147" s="14">
        <f>+D151</f>
        <v>195</v>
      </c>
      <c r="E147" s="14">
        <f t="shared" ref="E147:J147" si="56">+E149+E151</f>
        <v>200.9</v>
      </c>
      <c r="F147" s="61"/>
      <c r="G147" s="61"/>
      <c r="H147" s="73">
        <f t="shared" si="56"/>
        <v>0</v>
      </c>
      <c r="I147" s="73"/>
      <c r="J147" s="73">
        <f t="shared" si="56"/>
        <v>0</v>
      </c>
      <c r="K147" s="61"/>
    </row>
    <row r="148" spans="1:11" ht="13.5" customHeight="1" x14ac:dyDescent="0.2">
      <c r="A148" s="68" t="s">
        <v>113</v>
      </c>
      <c r="B148" s="64" t="s">
        <v>55</v>
      </c>
      <c r="C148" s="23">
        <v>484.7</v>
      </c>
      <c r="D148" s="72"/>
      <c r="E148" s="23">
        <v>194.9</v>
      </c>
      <c r="F148" s="60">
        <f>261.3-3</f>
        <v>258.3</v>
      </c>
      <c r="G148" s="60">
        <v>4.5</v>
      </c>
      <c r="H148" s="72"/>
      <c r="I148" s="72"/>
      <c r="J148" s="72"/>
      <c r="K148" s="60">
        <v>27</v>
      </c>
    </row>
    <row r="149" spans="1:11" ht="13.5" customHeight="1" x14ac:dyDescent="0.2">
      <c r="A149" s="69"/>
      <c r="B149" s="65"/>
      <c r="C149" s="14">
        <f>+D149+E149+F148+G148+H149+J149+K148</f>
        <v>490.70000000000005</v>
      </c>
      <c r="D149" s="73"/>
      <c r="E149" s="14">
        <f>194.9+6</f>
        <v>200.9</v>
      </c>
      <c r="F149" s="61"/>
      <c r="G149" s="61"/>
      <c r="H149" s="73">
        <f t="shared" ref="H149" si="57">+H153+H154</f>
        <v>0</v>
      </c>
      <c r="I149" s="73"/>
      <c r="J149" s="73">
        <f t="shared" ref="J149" si="58">+J153+J154</f>
        <v>0</v>
      </c>
      <c r="K149" s="61"/>
    </row>
    <row r="150" spans="1:11" ht="13.5" customHeight="1" x14ac:dyDescent="0.2">
      <c r="A150" s="70" t="s">
        <v>114</v>
      </c>
      <c r="B150" s="64" t="s">
        <v>56</v>
      </c>
      <c r="C150" s="23">
        <v>1131.5</v>
      </c>
      <c r="D150" s="23">
        <v>175</v>
      </c>
      <c r="E150" s="72"/>
      <c r="F150" s="60">
        <v>366.5</v>
      </c>
      <c r="G150" s="60">
        <f>10.1+1.9</f>
        <v>12</v>
      </c>
      <c r="H150" s="72"/>
      <c r="I150" s="72"/>
      <c r="J150" s="72"/>
      <c r="K150" s="60">
        <v>578</v>
      </c>
    </row>
    <row r="151" spans="1:11" ht="13.5" customHeight="1" x14ac:dyDescent="0.2">
      <c r="A151" s="71"/>
      <c r="B151" s="65"/>
      <c r="C151" s="14">
        <f>+D151+E151+F150+G150+H151+J151+K150</f>
        <v>1151.5</v>
      </c>
      <c r="D151" s="14">
        <f>175+20</f>
        <v>195</v>
      </c>
      <c r="E151" s="73"/>
      <c r="F151" s="61"/>
      <c r="G151" s="61"/>
      <c r="H151" s="73">
        <f>+H156+H157</f>
        <v>0</v>
      </c>
      <c r="I151" s="73"/>
      <c r="J151" s="73">
        <f>+J156+J157</f>
        <v>0</v>
      </c>
      <c r="K151" s="61"/>
    </row>
    <row r="152" spans="1:11" ht="13.5" customHeight="1" x14ac:dyDescent="0.2">
      <c r="A152" s="66">
        <v>40</v>
      </c>
      <c r="B152" s="62" t="s">
        <v>222</v>
      </c>
      <c r="C152" s="23">
        <v>1496.4</v>
      </c>
      <c r="D152" s="23">
        <v>265</v>
      </c>
      <c r="E152" s="37"/>
      <c r="F152" s="38"/>
      <c r="G152" s="38"/>
      <c r="H152" s="37"/>
      <c r="I152" s="37"/>
      <c r="J152" s="37"/>
      <c r="K152" s="38"/>
    </row>
    <row r="153" spans="1:11" ht="13.5" customHeight="1" x14ac:dyDescent="0.2">
      <c r="A153" s="67"/>
      <c r="B153" s="63"/>
      <c r="C153" s="14">
        <f>+C154+C156</f>
        <v>1516.4</v>
      </c>
      <c r="D153" s="14">
        <f t="shared" ref="D153:H153" si="59">+D154+D156</f>
        <v>285</v>
      </c>
      <c r="E153" s="42">
        <f t="shared" si="59"/>
        <v>99.600000000000009</v>
      </c>
      <c r="F153" s="42">
        <f t="shared" si="59"/>
        <v>550.1</v>
      </c>
      <c r="G153" s="42">
        <f t="shared" si="59"/>
        <v>12</v>
      </c>
      <c r="H153" s="42">
        <f t="shared" si="59"/>
        <v>0</v>
      </c>
      <c r="I153" s="42"/>
      <c r="J153" s="42">
        <f t="shared" ref="J153:K153" si="60">+J154+J156</f>
        <v>0</v>
      </c>
      <c r="K153" s="42">
        <f t="shared" si="60"/>
        <v>569.70000000000005</v>
      </c>
    </row>
    <row r="154" spans="1:11" ht="13.5" customHeight="1" x14ac:dyDescent="0.2">
      <c r="A154" s="43" t="s">
        <v>115</v>
      </c>
      <c r="B154" s="44" t="s">
        <v>55</v>
      </c>
      <c r="C154" s="41">
        <f>+D154+E154+F154+G154+H154+J154+K154</f>
        <v>222.20000000000002</v>
      </c>
      <c r="D154" s="42"/>
      <c r="E154" s="42">
        <f>137.4-37.8</f>
        <v>99.600000000000009</v>
      </c>
      <c r="F154" s="42">
        <f>172-2.2-58.7</f>
        <v>111.10000000000001</v>
      </c>
      <c r="G154" s="42">
        <f>3.2-0.7</f>
        <v>2.5</v>
      </c>
      <c r="H154" s="42"/>
      <c r="I154" s="42"/>
      <c r="J154" s="42"/>
      <c r="K154" s="42">
        <f>11.6-2.6</f>
        <v>9</v>
      </c>
    </row>
    <row r="155" spans="1:11" ht="13.5" customHeight="1" x14ac:dyDescent="0.2">
      <c r="A155" s="68" t="s">
        <v>116</v>
      </c>
      <c r="B155" s="64" t="s">
        <v>56</v>
      </c>
      <c r="C155" s="23">
        <v>1274.2</v>
      </c>
      <c r="D155" s="23">
        <v>265</v>
      </c>
      <c r="E155" s="42"/>
      <c r="F155" s="42"/>
      <c r="G155" s="42"/>
      <c r="H155" s="42"/>
      <c r="I155" s="42"/>
      <c r="J155" s="42"/>
      <c r="K155" s="42"/>
    </row>
    <row r="156" spans="1:11" ht="13.5" customHeight="1" x14ac:dyDescent="0.2">
      <c r="A156" s="69"/>
      <c r="B156" s="65"/>
      <c r="C156" s="14">
        <f>+D156+E156+F156+G156+H156+J156+K156</f>
        <v>1294.2</v>
      </c>
      <c r="D156" s="14">
        <f>265+20</f>
        <v>285</v>
      </c>
      <c r="E156" s="42"/>
      <c r="F156" s="42">
        <f>402.6+36.4</f>
        <v>439</v>
      </c>
      <c r="G156" s="42">
        <v>9.5</v>
      </c>
      <c r="H156" s="42"/>
      <c r="I156" s="42"/>
      <c r="J156" s="42"/>
      <c r="K156" s="42">
        <v>560.70000000000005</v>
      </c>
    </row>
    <row r="157" spans="1:11" ht="13.5" customHeight="1" x14ac:dyDescent="0.2">
      <c r="A157" s="66">
        <v>41</v>
      </c>
      <c r="B157" s="62" t="s">
        <v>39</v>
      </c>
      <c r="C157" s="23">
        <v>2992.4</v>
      </c>
      <c r="D157" s="76">
        <f>+D159</f>
        <v>944.1</v>
      </c>
      <c r="E157" s="60">
        <f>+E160</f>
        <v>0</v>
      </c>
      <c r="F157" s="76">
        <f>+F159</f>
        <v>1910.8</v>
      </c>
      <c r="G157" s="23">
        <v>119.1</v>
      </c>
      <c r="H157" s="72">
        <f>+H160</f>
        <v>0</v>
      </c>
      <c r="I157" s="72">
        <f t="shared" ref="I157:J157" si="61">+I160</f>
        <v>0</v>
      </c>
      <c r="J157" s="72">
        <f t="shared" si="61"/>
        <v>0</v>
      </c>
      <c r="K157" s="60">
        <f>+K159</f>
        <v>18.399999999999999</v>
      </c>
    </row>
    <row r="158" spans="1:11" ht="13.5" customHeight="1" x14ac:dyDescent="0.2">
      <c r="A158" s="67"/>
      <c r="B158" s="63"/>
      <c r="C158" s="14">
        <f>+C160</f>
        <v>2993.9</v>
      </c>
      <c r="D158" s="77"/>
      <c r="E158" s="61"/>
      <c r="F158" s="77"/>
      <c r="G158" s="14">
        <f t="shared" ref="G158" si="62">+G160</f>
        <v>120.60000000000001</v>
      </c>
      <c r="H158" s="73"/>
      <c r="I158" s="73"/>
      <c r="J158" s="73"/>
      <c r="K158" s="61"/>
    </row>
    <row r="159" spans="1:11" ht="13.5" customHeight="1" x14ac:dyDescent="0.2">
      <c r="A159" s="68" t="s">
        <v>100</v>
      </c>
      <c r="B159" s="64" t="s">
        <v>56</v>
      </c>
      <c r="C159" s="23">
        <v>2992.4</v>
      </c>
      <c r="D159" s="76">
        <f>851.5+96-3.4</f>
        <v>944.1</v>
      </c>
      <c r="E159" s="60"/>
      <c r="F159" s="76">
        <v>1910.8</v>
      </c>
      <c r="G159" s="23">
        <v>119.1</v>
      </c>
      <c r="H159" s="72">
        <f>+H162</f>
        <v>0</v>
      </c>
      <c r="I159" s="72">
        <f t="shared" ref="I159:J159" si="63">+I162</f>
        <v>0</v>
      </c>
      <c r="J159" s="72">
        <f t="shared" si="63"/>
        <v>0</v>
      </c>
      <c r="K159" s="60">
        <v>18.399999999999999</v>
      </c>
    </row>
    <row r="160" spans="1:11" ht="13.5" customHeight="1" x14ac:dyDescent="0.2">
      <c r="A160" s="69"/>
      <c r="B160" s="65"/>
      <c r="C160" s="14">
        <f>+D159+E160+F159+G160+H160+J160+K159</f>
        <v>2993.9</v>
      </c>
      <c r="D160" s="77"/>
      <c r="E160" s="61"/>
      <c r="F160" s="77"/>
      <c r="G160" s="14">
        <f>26.4+67.4+25.3+1.5</f>
        <v>120.60000000000001</v>
      </c>
      <c r="H160" s="73"/>
      <c r="I160" s="73"/>
      <c r="J160" s="73"/>
      <c r="K160" s="61"/>
    </row>
    <row r="161" spans="1:11" ht="25.5" x14ac:dyDescent="0.2">
      <c r="A161" s="46">
        <v>42</v>
      </c>
      <c r="B161" s="40" t="s">
        <v>40</v>
      </c>
      <c r="C161" s="41">
        <f>+C162</f>
        <v>686.40000000000009</v>
      </c>
      <c r="D161" s="42">
        <f t="shared" ref="D161:I161" si="64">+D162</f>
        <v>525.6</v>
      </c>
      <c r="E161" s="42">
        <f t="shared" si="64"/>
        <v>0</v>
      </c>
      <c r="F161" s="42">
        <f t="shared" si="64"/>
        <v>153.30000000000001</v>
      </c>
      <c r="G161" s="42">
        <f t="shared" si="64"/>
        <v>0</v>
      </c>
      <c r="H161" s="42">
        <f t="shared" si="64"/>
        <v>0</v>
      </c>
      <c r="I161" s="42">
        <f t="shared" si="64"/>
        <v>0</v>
      </c>
      <c r="J161" s="42">
        <f t="shared" ref="J161:K161" si="65">+J162</f>
        <v>0</v>
      </c>
      <c r="K161" s="42">
        <f t="shared" si="65"/>
        <v>7.5</v>
      </c>
    </row>
    <row r="162" spans="1:11" ht="13.5" customHeight="1" x14ac:dyDescent="0.2">
      <c r="A162" s="43" t="s">
        <v>117</v>
      </c>
      <c r="B162" s="44" t="s">
        <v>56</v>
      </c>
      <c r="C162" s="41">
        <f>+D162+E162+F162+G162+H162+J162+K162+I162</f>
        <v>686.40000000000009</v>
      </c>
      <c r="D162" s="42">
        <v>525.6</v>
      </c>
      <c r="E162" s="42"/>
      <c r="F162" s="42">
        <f>159.9-6.6</f>
        <v>153.30000000000001</v>
      </c>
      <c r="G162" s="42"/>
      <c r="H162" s="42"/>
      <c r="I162" s="42"/>
      <c r="J162" s="42"/>
      <c r="K162" s="42">
        <v>7.5</v>
      </c>
    </row>
    <row r="163" spans="1:11" ht="25.5" x14ac:dyDescent="0.2">
      <c r="A163" s="46">
        <v>43</v>
      </c>
      <c r="B163" s="49" t="s">
        <v>53</v>
      </c>
      <c r="C163" s="41">
        <f>+C164</f>
        <v>228.1</v>
      </c>
      <c r="D163" s="42">
        <f t="shared" ref="D163:H163" si="66">+D164</f>
        <v>0</v>
      </c>
      <c r="E163" s="42">
        <f t="shared" si="66"/>
        <v>0</v>
      </c>
      <c r="F163" s="42">
        <f t="shared" si="66"/>
        <v>228.1</v>
      </c>
      <c r="G163" s="42">
        <f t="shared" si="66"/>
        <v>0</v>
      </c>
      <c r="H163" s="42">
        <f t="shared" si="66"/>
        <v>0</v>
      </c>
      <c r="I163" s="42"/>
      <c r="J163" s="42">
        <f t="shared" ref="J163:K163" si="67">+J164</f>
        <v>0</v>
      </c>
      <c r="K163" s="42">
        <f t="shared" si="67"/>
        <v>0</v>
      </c>
    </row>
    <row r="164" spans="1:11" ht="13.5" customHeight="1" x14ac:dyDescent="0.2">
      <c r="A164" s="43" t="s">
        <v>118</v>
      </c>
      <c r="B164" s="50" t="s">
        <v>59</v>
      </c>
      <c r="C164" s="41">
        <f>+D164+E164+F164+G164+H164+J164+K164</f>
        <v>228.1</v>
      </c>
      <c r="D164" s="42"/>
      <c r="E164" s="42"/>
      <c r="F164" s="42">
        <v>228.1</v>
      </c>
      <c r="G164" s="42"/>
      <c r="H164" s="42"/>
      <c r="I164" s="42"/>
      <c r="J164" s="42"/>
      <c r="K164" s="42"/>
    </row>
    <row r="165" spans="1:11" ht="13.5" customHeight="1" x14ac:dyDescent="0.2">
      <c r="A165" s="66">
        <v>44</v>
      </c>
      <c r="B165" s="62" t="s">
        <v>41</v>
      </c>
      <c r="C165" s="23">
        <v>57321.4</v>
      </c>
      <c r="D165" s="23">
        <v>3575.1</v>
      </c>
      <c r="E165" s="72">
        <f>+E168+E170+E171+E173+E175</f>
        <v>0</v>
      </c>
      <c r="F165" s="23">
        <v>35127</v>
      </c>
      <c r="G165" s="23">
        <v>7728.4</v>
      </c>
      <c r="H165" s="76">
        <f>+H167+H169+H171+H172+H175</f>
        <v>5864</v>
      </c>
      <c r="I165" s="23">
        <f>+I167+I169+I171+I173+I175</f>
        <v>634.4</v>
      </c>
      <c r="J165" s="76">
        <f>+J168+J170+J171+J173+J174</f>
        <v>4375.2</v>
      </c>
      <c r="K165" s="60">
        <f>+K168+K170+K171+K173+K174</f>
        <v>17.3</v>
      </c>
    </row>
    <row r="166" spans="1:11" x14ac:dyDescent="0.2">
      <c r="A166" s="67"/>
      <c r="B166" s="63"/>
      <c r="C166" s="14">
        <f>+C168+C170+C171+C173+C175</f>
        <v>57828.800000000003</v>
      </c>
      <c r="D166" s="14">
        <f>+D168+D170+D171+D172+D175</f>
        <v>4025.2999999999997</v>
      </c>
      <c r="E166" s="73"/>
      <c r="F166" s="14">
        <f>+F167+F170+F171+F172+F174</f>
        <v>35102</v>
      </c>
      <c r="G166" s="14">
        <f t="shared" ref="G166" si="68">+G168+G170+G171+G173+G175</f>
        <v>7690.5999999999995</v>
      </c>
      <c r="H166" s="77"/>
      <c r="I166" s="14">
        <v>754.4</v>
      </c>
      <c r="J166" s="77"/>
      <c r="K166" s="61"/>
    </row>
    <row r="167" spans="1:11" ht="15" customHeight="1" x14ac:dyDescent="0.2">
      <c r="A167" s="68" t="s">
        <v>119</v>
      </c>
      <c r="B167" s="64" t="s">
        <v>55</v>
      </c>
      <c r="C167" s="23">
        <v>7187.2</v>
      </c>
      <c r="D167" s="72"/>
      <c r="E167" s="72"/>
      <c r="F167" s="76">
        <f>4870.3+10+6.6+120+18.4</f>
        <v>5025.3</v>
      </c>
      <c r="G167" s="23">
        <v>109.5</v>
      </c>
      <c r="H167" s="76">
        <f>1833-80</f>
        <v>1753</v>
      </c>
      <c r="I167" s="23">
        <v>299.39999999999998</v>
      </c>
      <c r="J167" s="76"/>
      <c r="K167" s="76"/>
    </row>
    <row r="168" spans="1:11" ht="13.5" customHeight="1" x14ac:dyDescent="0.2">
      <c r="A168" s="69"/>
      <c r="B168" s="65"/>
      <c r="C168" s="14">
        <v>7251.7</v>
      </c>
      <c r="D168" s="73"/>
      <c r="E168" s="73"/>
      <c r="F168" s="77"/>
      <c r="G168" s="14">
        <f>8.3+45.7+55.5-55.5</f>
        <v>54</v>
      </c>
      <c r="H168" s="77"/>
      <c r="I168" s="14">
        <v>419.4</v>
      </c>
      <c r="J168" s="77"/>
      <c r="K168" s="77"/>
    </row>
    <row r="169" spans="1:11" ht="13.5" customHeight="1" x14ac:dyDescent="0.2">
      <c r="A169" s="68" t="s">
        <v>121</v>
      </c>
      <c r="B169" s="64" t="s">
        <v>56</v>
      </c>
      <c r="C169" s="23">
        <v>18042.7</v>
      </c>
      <c r="D169" s="23">
        <v>2777.4</v>
      </c>
      <c r="E169" s="72"/>
      <c r="F169" s="23">
        <v>10726.6</v>
      </c>
      <c r="G169" s="23">
        <v>1547.7</v>
      </c>
      <c r="H169" s="76">
        <f>2706+50-100</f>
        <v>2656</v>
      </c>
      <c r="I169" s="60">
        <f>158+177</f>
        <v>335</v>
      </c>
      <c r="J169" s="76"/>
      <c r="K169" s="76"/>
    </row>
    <row r="170" spans="1:11" ht="13.5" customHeight="1" x14ac:dyDescent="0.2">
      <c r="A170" s="69"/>
      <c r="B170" s="65"/>
      <c r="C170" s="14">
        <f>+D170+E170+F170+G170+H169+J170+K170+I169</f>
        <v>18446.3</v>
      </c>
      <c r="D170" s="14">
        <f>2833.1+2.6-4-56.3+2+400+45</f>
        <v>3222.3999999999996</v>
      </c>
      <c r="E170" s="73"/>
      <c r="F170" s="14">
        <f>10713.7+20+3+0.5-50+49.4-10-25</f>
        <v>10701.6</v>
      </c>
      <c r="G170" s="14">
        <f>189.4+78.7+88.4+56+24.4+61.8+345.6+41.1+48.8+613.5-16.4</f>
        <v>1531.2999999999997</v>
      </c>
      <c r="H170" s="77"/>
      <c r="I170" s="61"/>
      <c r="J170" s="77"/>
      <c r="K170" s="77"/>
    </row>
    <row r="171" spans="1:11" ht="13.5" customHeight="1" x14ac:dyDescent="0.2">
      <c r="A171" s="43" t="s">
        <v>120</v>
      </c>
      <c r="B171" s="44" t="s">
        <v>57</v>
      </c>
      <c r="C171" s="41">
        <f t="shared" ref="C171:C230" si="69">+D171+E171+F171+G171+H171+J171+K171+I171</f>
        <v>15890.5</v>
      </c>
      <c r="D171" s="42"/>
      <c r="E171" s="42"/>
      <c r="F171" s="41">
        <f>8740.5-50+97.7+137+127.2+10</f>
        <v>9062.4000000000015</v>
      </c>
      <c r="G171" s="42">
        <f>3200+271.8+14.1+230.1-230.1</f>
        <v>3485.9</v>
      </c>
      <c r="H171" s="41">
        <f>1760-550-10</f>
        <v>1200</v>
      </c>
      <c r="I171" s="42"/>
      <c r="J171" s="41">
        <v>2142.1999999999998</v>
      </c>
      <c r="K171" s="42"/>
    </row>
    <row r="172" spans="1:11" ht="13.5" customHeight="1" x14ac:dyDescent="0.2">
      <c r="A172" s="68" t="s">
        <v>122</v>
      </c>
      <c r="B172" s="64" t="s">
        <v>58</v>
      </c>
      <c r="C172" s="23">
        <v>4809.3</v>
      </c>
      <c r="D172" s="94">
        <f>134.2+421.8+15.4</f>
        <v>571.4</v>
      </c>
      <c r="E172" s="94"/>
      <c r="F172" s="96">
        <f>1397.6+20-10+20-30</f>
        <v>1397.6</v>
      </c>
      <c r="G172" s="23">
        <v>2585.3000000000002</v>
      </c>
      <c r="H172" s="60">
        <f>60+200-5</f>
        <v>255</v>
      </c>
      <c r="I172" s="72"/>
      <c r="J172" s="72"/>
      <c r="K172" s="72"/>
    </row>
    <row r="173" spans="1:11" ht="13.5" customHeight="1" x14ac:dyDescent="0.2">
      <c r="A173" s="69"/>
      <c r="B173" s="65"/>
      <c r="C173" s="14">
        <f>+D172+E173+F172+G173+H172+J173+K173+I173</f>
        <v>4843.3999999999996</v>
      </c>
      <c r="D173" s="95"/>
      <c r="E173" s="95"/>
      <c r="F173" s="97"/>
      <c r="G173" s="14">
        <f>1064+1291.2+230.1+34.1</f>
        <v>2619.3999999999996</v>
      </c>
      <c r="H173" s="61"/>
      <c r="I173" s="73"/>
      <c r="J173" s="73"/>
      <c r="K173" s="73"/>
    </row>
    <row r="174" spans="1:11" ht="13.5" customHeight="1" x14ac:dyDescent="0.2">
      <c r="A174" s="68" t="s">
        <v>123</v>
      </c>
      <c r="B174" s="92" t="s">
        <v>59</v>
      </c>
      <c r="C174" s="23">
        <v>11391.7</v>
      </c>
      <c r="D174" s="23">
        <v>226.3</v>
      </c>
      <c r="E174" s="72"/>
      <c r="F174" s="76">
        <f>8918.6-3-0.5</f>
        <v>8915.1</v>
      </c>
      <c r="G174" s="72"/>
      <c r="H174" s="72"/>
      <c r="I174" s="72"/>
      <c r="J174" s="60">
        <v>2233</v>
      </c>
      <c r="K174" s="60">
        <v>17.3</v>
      </c>
    </row>
    <row r="175" spans="1:11" ht="13.5" customHeight="1" x14ac:dyDescent="0.2">
      <c r="A175" s="69"/>
      <c r="B175" s="93"/>
      <c r="C175" s="14">
        <f>+D175+E175+F174+G175+H175+J174+K174+I175</f>
        <v>11396.9</v>
      </c>
      <c r="D175" s="14">
        <f>226.3+5.2</f>
        <v>231.5</v>
      </c>
      <c r="E175" s="73"/>
      <c r="F175" s="77"/>
      <c r="G175" s="73"/>
      <c r="H175" s="73"/>
      <c r="I175" s="73"/>
      <c r="J175" s="61"/>
      <c r="K175" s="61"/>
    </row>
    <row r="176" spans="1:11" ht="25.5" x14ac:dyDescent="0.2">
      <c r="A176" s="46">
        <v>45</v>
      </c>
      <c r="B176" s="40" t="s">
        <v>42</v>
      </c>
      <c r="C176" s="41">
        <f>+C177+C178+C179</f>
        <v>3341.7</v>
      </c>
      <c r="D176" s="42">
        <f t="shared" ref="D176:K176" si="70">+D177+D178+D179</f>
        <v>4.7</v>
      </c>
      <c r="E176" s="42">
        <f t="shared" si="70"/>
        <v>0</v>
      </c>
      <c r="F176" s="42">
        <f t="shared" si="70"/>
        <v>3297.5</v>
      </c>
      <c r="G176" s="42">
        <f t="shared" si="70"/>
        <v>0</v>
      </c>
      <c r="H176" s="42">
        <f t="shared" si="70"/>
        <v>0</v>
      </c>
      <c r="I176" s="42">
        <f t="shared" si="70"/>
        <v>0</v>
      </c>
      <c r="J176" s="42">
        <f t="shared" si="70"/>
        <v>0</v>
      </c>
      <c r="K176" s="42">
        <f t="shared" si="70"/>
        <v>39.5</v>
      </c>
    </row>
    <row r="177" spans="1:11" ht="13.5" customHeight="1" x14ac:dyDescent="0.2">
      <c r="A177" s="43" t="s">
        <v>124</v>
      </c>
      <c r="B177" s="44" t="s">
        <v>56</v>
      </c>
      <c r="C177" s="41">
        <f t="shared" si="69"/>
        <v>162.1</v>
      </c>
      <c r="D177" s="42"/>
      <c r="E177" s="42"/>
      <c r="F177" s="42">
        <v>162.1</v>
      </c>
      <c r="G177" s="42"/>
      <c r="H177" s="42"/>
      <c r="I177" s="42"/>
      <c r="J177" s="42"/>
      <c r="K177" s="42"/>
    </row>
    <row r="178" spans="1:11" ht="13.5" customHeight="1" x14ac:dyDescent="0.2">
      <c r="A178" s="43" t="s">
        <v>125</v>
      </c>
      <c r="B178" s="44" t="s">
        <v>57</v>
      </c>
      <c r="C178" s="41">
        <f t="shared" si="69"/>
        <v>2912.3</v>
      </c>
      <c r="D178" s="42"/>
      <c r="E178" s="42"/>
      <c r="F178" s="42">
        <f>2774.3+138</f>
        <v>2912.3</v>
      </c>
      <c r="G178" s="42"/>
      <c r="H178" s="42"/>
      <c r="I178" s="42"/>
      <c r="J178" s="42"/>
      <c r="K178" s="42"/>
    </row>
    <row r="179" spans="1:11" ht="13.5" customHeight="1" x14ac:dyDescent="0.2">
      <c r="A179" s="43" t="s">
        <v>126</v>
      </c>
      <c r="B179" s="50" t="s">
        <v>59</v>
      </c>
      <c r="C179" s="41">
        <f t="shared" si="69"/>
        <v>267.29999999999995</v>
      </c>
      <c r="D179" s="42">
        <v>4.7</v>
      </c>
      <c r="E179" s="42"/>
      <c r="F179" s="42">
        <v>223.1</v>
      </c>
      <c r="G179" s="42"/>
      <c r="H179" s="42"/>
      <c r="I179" s="42"/>
      <c r="J179" s="42"/>
      <c r="K179" s="42">
        <f>0.3+39.2</f>
        <v>39.5</v>
      </c>
    </row>
    <row r="180" spans="1:11" ht="25.5" x14ac:dyDescent="0.2">
      <c r="A180" s="46">
        <v>46</v>
      </c>
      <c r="B180" s="40" t="s">
        <v>43</v>
      </c>
      <c r="C180" s="41">
        <f>+C181+C182+C183+C184</f>
        <v>440.3</v>
      </c>
      <c r="D180" s="42">
        <f t="shared" ref="D180:K180" si="71">+D181+D182+D183+D184</f>
        <v>21.700000000000003</v>
      </c>
      <c r="E180" s="42">
        <f t="shared" si="71"/>
        <v>0</v>
      </c>
      <c r="F180" s="42">
        <f t="shared" si="71"/>
        <v>414.80000000000007</v>
      </c>
      <c r="G180" s="42">
        <f t="shared" si="71"/>
        <v>0</v>
      </c>
      <c r="H180" s="42">
        <f t="shared" si="71"/>
        <v>0</v>
      </c>
      <c r="I180" s="42">
        <f t="shared" si="71"/>
        <v>0</v>
      </c>
      <c r="J180" s="42">
        <f t="shared" si="71"/>
        <v>0</v>
      </c>
      <c r="K180" s="42">
        <f t="shared" si="71"/>
        <v>3.8</v>
      </c>
    </row>
    <row r="181" spans="1:11" ht="13.5" customHeight="1" x14ac:dyDescent="0.2">
      <c r="A181" s="43" t="s">
        <v>127</v>
      </c>
      <c r="B181" s="44" t="s">
        <v>56</v>
      </c>
      <c r="C181" s="41">
        <f t="shared" si="69"/>
        <v>49.4</v>
      </c>
      <c r="D181" s="42">
        <v>5.0999999999999996</v>
      </c>
      <c r="E181" s="42"/>
      <c r="F181" s="42">
        <v>44.3</v>
      </c>
      <c r="G181" s="42"/>
      <c r="H181" s="42"/>
      <c r="I181" s="42"/>
      <c r="J181" s="42"/>
      <c r="K181" s="42"/>
    </row>
    <row r="182" spans="1:11" ht="13.5" customHeight="1" x14ac:dyDescent="0.2">
      <c r="A182" s="43" t="s">
        <v>128</v>
      </c>
      <c r="B182" s="44" t="s">
        <v>57</v>
      </c>
      <c r="C182" s="41">
        <f t="shared" si="69"/>
        <v>267.10000000000002</v>
      </c>
      <c r="D182" s="42"/>
      <c r="E182" s="42"/>
      <c r="F182" s="42">
        <f>232.1+35</f>
        <v>267.10000000000002</v>
      </c>
      <c r="G182" s="42"/>
      <c r="H182" s="42"/>
      <c r="I182" s="42"/>
      <c r="J182" s="42"/>
      <c r="K182" s="42"/>
    </row>
    <row r="183" spans="1:11" ht="13.5" customHeight="1" x14ac:dyDescent="0.2">
      <c r="A183" s="43" t="s">
        <v>129</v>
      </c>
      <c r="B183" s="44" t="s">
        <v>58</v>
      </c>
      <c r="C183" s="41">
        <f t="shared" si="69"/>
        <v>16.600000000000001</v>
      </c>
      <c r="D183" s="42">
        <v>16.600000000000001</v>
      </c>
      <c r="E183" s="42"/>
      <c r="F183" s="42"/>
      <c r="G183" s="42"/>
      <c r="H183" s="42"/>
      <c r="I183" s="42"/>
      <c r="J183" s="42"/>
      <c r="K183" s="42"/>
    </row>
    <row r="184" spans="1:11" ht="13.5" customHeight="1" x14ac:dyDescent="0.2">
      <c r="A184" s="43" t="s">
        <v>130</v>
      </c>
      <c r="B184" s="50" t="s">
        <v>59</v>
      </c>
      <c r="C184" s="41">
        <f t="shared" si="69"/>
        <v>107.2</v>
      </c>
      <c r="D184" s="42"/>
      <c r="E184" s="42"/>
      <c r="F184" s="42">
        <v>103.4</v>
      </c>
      <c r="G184" s="42"/>
      <c r="H184" s="42"/>
      <c r="I184" s="42"/>
      <c r="J184" s="42"/>
      <c r="K184" s="42">
        <v>3.8</v>
      </c>
    </row>
    <row r="185" spans="1:11" ht="25.5" x14ac:dyDescent="0.2">
      <c r="A185" s="46">
        <v>47</v>
      </c>
      <c r="B185" s="40" t="s">
        <v>44</v>
      </c>
      <c r="C185" s="41">
        <f>+C186+C187+C188+C189</f>
        <v>360.2</v>
      </c>
      <c r="D185" s="42">
        <f t="shared" ref="D185:K185" si="72">+D186+D187+D188+D189</f>
        <v>16.899999999999999</v>
      </c>
      <c r="E185" s="42">
        <f t="shared" si="72"/>
        <v>0</v>
      </c>
      <c r="F185" s="42">
        <f t="shared" si="72"/>
        <v>338</v>
      </c>
      <c r="G185" s="42">
        <f t="shared" si="72"/>
        <v>0</v>
      </c>
      <c r="H185" s="42">
        <f t="shared" si="72"/>
        <v>0</v>
      </c>
      <c r="I185" s="42">
        <f t="shared" si="72"/>
        <v>0</v>
      </c>
      <c r="J185" s="42">
        <f t="shared" si="72"/>
        <v>0</v>
      </c>
      <c r="K185" s="42">
        <f t="shared" si="72"/>
        <v>5.3</v>
      </c>
    </row>
    <row r="186" spans="1:11" ht="13.5" customHeight="1" x14ac:dyDescent="0.2">
      <c r="A186" s="43" t="s">
        <v>131</v>
      </c>
      <c r="B186" s="44" t="s">
        <v>56</v>
      </c>
      <c r="C186" s="41">
        <f t="shared" si="69"/>
        <v>28.3</v>
      </c>
      <c r="D186" s="42">
        <v>4.5</v>
      </c>
      <c r="E186" s="42"/>
      <c r="F186" s="42">
        <v>23.8</v>
      </c>
      <c r="G186" s="42"/>
      <c r="H186" s="42"/>
      <c r="I186" s="42"/>
      <c r="J186" s="42"/>
      <c r="K186" s="42"/>
    </row>
    <row r="187" spans="1:11" ht="13.5" customHeight="1" x14ac:dyDescent="0.2">
      <c r="A187" s="43" t="s">
        <v>132</v>
      </c>
      <c r="B187" s="44" t="s">
        <v>57</v>
      </c>
      <c r="C187" s="41">
        <f t="shared" si="69"/>
        <v>203.39999999999998</v>
      </c>
      <c r="D187" s="42"/>
      <c r="E187" s="42"/>
      <c r="F187" s="42">
        <v>202.2</v>
      </c>
      <c r="G187" s="42"/>
      <c r="H187" s="42"/>
      <c r="I187" s="42"/>
      <c r="J187" s="42"/>
      <c r="K187" s="42">
        <v>1.2</v>
      </c>
    </row>
    <row r="188" spans="1:11" ht="13.5" customHeight="1" x14ac:dyDescent="0.2">
      <c r="A188" s="43" t="s">
        <v>133</v>
      </c>
      <c r="B188" s="44" t="s">
        <v>58</v>
      </c>
      <c r="C188" s="41">
        <f t="shared" si="69"/>
        <v>12.4</v>
      </c>
      <c r="D188" s="42">
        <v>12.4</v>
      </c>
      <c r="E188" s="42"/>
      <c r="F188" s="42"/>
      <c r="G188" s="42"/>
      <c r="H188" s="42"/>
      <c r="I188" s="42"/>
      <c r="J188" s="42"/>
      <c r="K188" s="42"/>
    </row>
    <row r="189" spans="1:11" ht="13.5" customHeight="1" x14ac:dyDescent="0.2">
      <c r="A189" s="43" t="s">
        <v>134</v>
      </c>
      <c r="B189" s="50" t="s">
        <v>59</v>
      </c>
      <c r="C189" s="41">
        <f t="shared" si="69"/>
        <v>116.1</v>
      </c>
      <c r="D189" s="42"/>
      <c r="E189" s="42"/>
      <c r="F189" s="42">
        <v>112</v>
      </c>
      <c r="G189" s="42"/>
      <c r="H189" s="42"/>
      <c r="I189" s="42"/>
      <c r="J189" s="42"/>
      <c r="K189" s="42">
        <v>4.0999999999999996</v>
      </c>
    </row>
    <row r="190" spans="1:11" ht="25.5" x14ac:dyDescent="0.2">
      <c r="A190" s="46">
        <v>48</v>
      </c>
      <c r="B190" s="40" t="s">
        <v>45</v>
      </c>
      <c r="C190" s="41">
        <f>+C191+C192+C193+C194</f>
        <v>340.5</v>
      </c>
      <c r="D190" s="42">
        <f t="shared" ref="D190:K190" si="73">+D191+D192+D193+D194</f>
        <v>12.2</v>
      </c>
      <c r="E190" s="42">
        <f t="shared" si="73"/>
        <v>0</v>
      </c>
      <c r="F190" s="42">
        <f t="shared" si="73"/>
        <v>311.8</v>
      </c>
      <c r="G190" s="42">
        <f t="shared" si="73"/>
        <v>0</v>
      </c>
      <c r="H190" s="42">
        <f t="shared" si="73"/>
        <v>0</v>
      </c>
      <c r="I190" s="42">
        <f t="shared" si="73"/>
        <v>0</v>
      </c>
      <c r="J190" s="42">
        <f t="shared" si="73"/>
        <v>0</v>
      </c>
      <c r="K190" s="42">
        <f t="shared" si="73"/>
        <v>16.5</v>
      </c>
    </row>
    <row r="191" spans="1:11" ht="13.5" customHeight="1" x14ac:dyDescent="0.2">
      <c r="A191" s="43" t="s">
        <v>135</v>
      </c>
      <c r="B191" s="44" t="s">
        <v>56</v>
      </c>
      <c r="C191" s="41">
        <f t="shared" si="69"/>
        <v>33.5</v>
      </c>
      <c r="D191" s="42">
        <v>5.0999999999999996</v>
      </c>
      <c r="E191" s="42"/>
      <c r="F191" s="42">
        <v>28.4</v>
      </c>
      <c r="G191" s="42"/>
      <c r="H191" s="42"/>
      <c r="I191" s="42"/>
      <c r="J191" s="42"/>
      <c r="K191" s="42"/>
    </row>
    <row r="192" spans="1:11" ht="13.5" customHeight="1" x14ac:dyDescent="0.2">
      <c r="A192" s="43" t="s">
        <v>136</v>
      </c>
      <c r="B192" s="44" t="s">
        <v>57</v>
      </c>
      <c r="C192" s="41">
        <f t="shared" si="69"/>
        <v>195.5</v>
      </c>
      <c r="D192" s="42"/>
      <c r="E192" s="42"/>
      <c r="F192" s="42">
        <v>183.9</v>
      </c>
      <c r="G192" s="42"/>
      <c r="H192" s="42"/>
      <c r="I192" s="42"/>
      <c r="J192" s="42"/>
      <c r="K192" s="42">
        <v>11.6</v>
      </c>
    </row>
    <row r="193" spans="1:11" ht="13.5" customHeight="1" x14ac:dyDescent="0.2">
      <c r="A193" s="43" t="s">
        <v>137</v>
      </c>
      <c r="B193" s="44" t="s">
        <v>58</v>
      </c>
      <c r="C193" s="41">
        <f t="shared" si="69"/>
        <v>7.1</v>
      </c>
      <c r="D193" s="42">
        <v>7.1</v>
      </c>
      <c r="E193" s="42"/>
      <c r="F193" s="42"/>
      <c r="G193" s="42"/>
      <c r="H193" s="42"/>
      <c r="I193" s="42"/>
      <c r="J193" s="42"/>
      <c r="K193" s="42"/>
    </row>
    <row r="194" spans="1:11" ht="13.5" customHeight="1" x14ac:dyDescent="0.2">
      <c r="A194" s="43" t="s">
        <v>138</v>
      </c>
      <c r="B194" s="50" t="s">
        <v>59</v>
      </c>
      <c r="C194" s="41">
        <f t="shared" si="69"/>
        <v>104.4</v>
      </c>
      <c r="D194" s="42"/>
      <c r="E194" s="42"/>
      <c r="F194" s="42">
        <v>99.5</v>
      </c>
      <c r="G194" s="42"/>
      <c r="H194" s="42"/>
      <c r="I194" s="42"/>
      <c r="J194" s="42"/>
      <c r="K194" s="42">
        <v>4.9000000000000004</v>
      </c>
    </row>
    <row r="195" spans="1:11" ht="25.5" x14ac:dyDescent="0.2">
      <c r="A195" s="46">
        <v>49</v>
      </c>
      <c r="B195" s="40" t="s">
        <v>46</v>
      </c>
      <c r="C195" s="41">
        <f>+C197+C198+C199+C200+C196</f>
        <v>337.59999999999997</v>
      </c>
      <c r="D195" s="42">
        <f t="shared" ref="D195:K195" si="74">+D197+D198+D199+D200+D196</f>
        <v>6.3000000000000007</v>
      </c>
      <c r="E195" s="42">
        <f t="shared" si="74"/>
        <v>0</v>
      </c>
      <c r="F195" s="42">
        <f t="shared" si="74"/>
        <v>329.4</v>
      </c>
      <c r="G195" s="42">
        <f t="shared" si="74"/>
        <v>0</v>
      </c>
      <c r="H195" s="42">
        <f t="shared" si="74"/>
        <v>0</v>
      </c>
      <c r="I195" s="42">
        <f t="shared" si="74"/>
        <v>0</v>
      </c>
      <c r="J195" s="42">
        <f t="shared" si="74"/>
        <v>0</v>
      </c>
      <c r="K195" s="42">
        <f t="shared" si="74"/>
        <v>1.9</v>
      </c>
    </row>
    <row r="196" spans="1:11" ht="13.5" customHeight="1" x14ac:dyDescent="0.2">
      <c r="A196" s="43" t="s">
        <v>112</v>
      </c>
      <c r="B196" s="44" t="s">
        <v>55</v>
      </c>
      <c r="C196" s="41">
        <f t="shared" si="69"/>
        <v>10.4</v>
      </c>
      <c r="D196" s="42"/>
      <c r="E196" s="42"/>
      <c r="F196" s="42">
        <v>10.4</v>
      </c>
      <c r="G196" s="42"/>
      <c r="H196" s="42"/>
      <c r="I196" s="42"/>
      <c r="J196" s="42"/>
      <c r="K196" s="42"/>
    </row>
    <row r="197" spans="1:11" ht="13.5" customHeight="1" x14ac:dyDescent="0.2">
      <c r="A197" s="43" t="s">
        <v>139</v>
      </c>
      <c r="B197" s="44" t="s">
        <v>56</v>
      </c>
      <c r="C197" s="41">
        <f t="shared" si="69"/>
        <v>41.6</v>
      </c>
      <c r="D197" s="42">
        <v>5.0999999999999996</v>
      </c>
      <c r="E197" s="42"/>
      <c r="F197" s="42">
        <v>36.5</v>
      </c>
      <c r="G197" s="42"/>
      <c r="H197" s="42"/>
      <c r="I197" s="42"/>
      <c r="J197" s="42"/>
      <c r="K197" s="42"/>
    </row>
    <row r="198" spans="1:11" ht="13.5" customHeight="1" x14ac:dyDescent="0.2">
      <c r="A198" s="43" t="s">
        <v>140</v>
      </c>
      <c r="B198" s="44" t="s">
        <v>57</v>
      </c>
      <c r="C198" s="41">
        <f t="shared" si="69"/>
        <v>195.6</v>
      </c>
      <c r="D198" s="42"/>
      <c r="E198" s="42"/>
      <c r="F198" s="42">
        <f>180.4+15</f>
        <v>195.4</v>
      </c>
      <c r="G198" s="42"/>
      <c r="H198" s="42"/>
      <c r="I198" s="42"/>
      <c r="J198" s="42"/>
      <c r="K198" s="42">
        <v>0.2</v>
      </c>
    </row>
    <row r="199" spans="1:11" ht="13.5" customHeight="1" x14ac:dyDescent="0.2">
      <c r="A199" s="43" t="s">
        <v>141</v>
      </c>
      <c r="B199" s="44" t="s">
        <v>58</v>
      </c>
      <c r="C199" s="41">
        <f t="shared" si="69"/>
        <v>1.2000000000000011</v>
      </c>
      <c r="D199" s="42">
        <f>16.6-15.4</f>
        <v>1.2000000000000011</v>
      </c>
      <c r="E199" s="42"/>
      <c r="F199" s="42"/>
      <c r="G199" s="42"/>
      <c r="H199" s="42"/>
      <c r="I199" s="42"/>
      <c r="J199" s="42"/>
      <c r="K199" s="42"/>
    </row>
    <row r="200" spans="1:11" ht="13.5" customHeight="1" x14ac:dyDescent="0.2">
      <c r="A200" s="43" t="s">
        <v>142</v>
      </c>
      <c r="B200" s="50" t="s">
        <v>59</v>
      </c>
      <c r="C200" s="41">
        <f t="shared" si="69"/>
        <v>88.8</v>
      </c>
      <c r="D200" s="42"/>
      <c r="E200" s="42"/>
      <c r="F200" s="42">
        <v>87.1</v>
      </c>
      <c r="G200" s="42"/>
      <c r="H200" s="42"/>
      <c r="I200" s="42"/>
      <c r="J200" s="42"/>
      <c r="K200" s="42">
        <v>1.7</v>
      </c>
    </row>
    <row r="201" spans="1:11" ht="25.5" x14ac:dyDescent="0.2">
      <c r="A201" s="46">
        <v>50</v>
      </c>
      <c r="B201" s="40" t="s">
        <v>47</v>
      </c>
      <c r="C201" s="41">
        <f>+C202+C203+C204+C205</f>
        <v>355.5</v>
      </c>
      <c r="D201" s="42">
        <f t="shared" ref="D201:K201" si="75">+D202+D203+D204+D205</f>
        <v>22.9</v>
      </c>
      <c r="E201" s="42">
        <f t="shared" si="75"/>
        <v>0</v>
      </c>
      <c r="F201" s="42">
        <f t="shared" si="75"/>
        <v>316.60000000000002</v>
      </c>
      <c r="G201" s="42">
        <f t="shared" si="75"/>
        <v>0</v>
      </c>
      <c r="H201" s="42">
        <f t="shared" si="75"/>
        <v>0</v>
      </c>
      <c r="I201" s="42">
        <f t="shared" si="75"/>
        <v>0</v>
      </c>
      <c r="J201" s="42">
        <f t="shared" si="75"/>
        <v>0</v>
      </c>
      <c r="K201" s="42">
        <f t="shared" si="75"/>
        <v>16</v>
      </c>
    </row>
    <row r="202" spans="1:11" ht="13.5" customHeight="1" x14ac:dyDescent="0.2">
      <c r="A202" s="43" t="s">
        <v>143</v>
      </c>
      <c r="B202" s="44" t="s">
        <v>56</v>
      </c>
      <c r="C202" s="41">
        <f t="shared" si="69"/>
        <v>31</v>
      </c>
      <c r="D202" s="42">
        <v>5.0999999999999996</v>
      </c>
      <c r="E202" s="42"/>
      <c r="F202" s="42">
        <v>25.9</v>
      </c>
      <c r="G202" s="42"/>
      <c r="H202" s="42"/>
      <c r="I202" s="42"/>
      <c r="J202" s="42"/>
      <c r="K202" s="42"/>
    </row>
    <row r="203" spans="1:11" ht="13.5" customHeight="1" x14ac:dyDescent="0.2">
      <c r="A203" s="43" t="s">
        <v>144</v>
      </c>
      <c r="B203" s="44" t="s">
        <v>57</v>
      </c>
      <c r="C203" s="41">
        <f t="shared" si="69"/>
        <v>182.4</v>
      </c>
      <c r="D203" s="42"/>
      <c r="E203" s="42"/>
      <c r="F203" s="42">
        <f>177.4+5</f>
        <v>182.4</v>
      </c>
      <c r="G203" s="42"/>
      <c r="H203" s="42"/>
      <c r="I203" s="42"/>
      <c r="J203" s="42"/>
      <c r="K203" s="42"/>
    </row>
    <row r="204" spans="1:11" ht="13.5" customHeight="1" x14ac:dyDescent="0.2">
      <c r="A204" s="43" t="s">
        <v>145</v>
      </c>
      <c r="B204" s="44" t="s">
        <v>58</v>
      </c>
      <c r="C204" s="41">
        <f t="shared" si="69"/>
        <v>17.8</v>
      </c>
      <c r="D204" s="42">
        <v>17.8</v>
      </c>
      <c r="E204" s="42"/>
      <c r="F204" s="42"/>
      <c r="G204" s="42"/>
      <c r="H204" s="42"/>
      <c r="I204" s="42"/>
      <c r="J204" s="42"/>
      <c r="K204" s="42"/>
    </row>
    <row r="205" spans="1:11" ht="13.5" customHeight="1" x14ac:dyDescent="0.2">
      <c r="A205" s="43" t="s">
        <v>146</v>
      </c>
      <c r="B205" s="50" t="s">
        <v>59</v>
      </c>
      <c r="C205" s="41">
        <f t="shared" si="69"/>
        <v>124.3</v>
      </c>
      <c r="D205" s="42"/>
      <c r="E205" s="42"/>
      <c r="F205" s="42">
        <v>108.3</v>
      </c>
      <c r="G205" s="42"/>
      <c r="H205" s="42"/>
      <c r="I205" s="42"/>
      <c r="J205" s="42"/>
      <c r="K205" s="42">
        <v>16</v>
      </c>
    </row>
    <row r="206" spans="1:11" ht="25.5" x14ac:dyDescent="0.2">
      <c r="A206" s="46">
        <v>51</v>
      </c>
      <c r="B206" s="49" t="s">
        <v>48</v>
      </c>
      <c r="C206" s="41">
        <f>+C207+C208+C209+C210</f>
        <v>370.8</v>
      </c>
      <c r="D206" s="42">
        <f t="shared" ref="D206:K206" si="76">+D207+D208+D209+D210</f>
        <v>17.8</v>
      </c>
      <c r="E206" s="42">
        <f t="shared" si="76"/>
        <v>0</v>
      </c>
      <c r="F206" s="42">
        <f t="shared" si="76"/>
        <v>347.6</v>
      </c>
      <c r="G206" s="42">
        <f t="shared" si="76"/>
        <v>0</v>
      </c>
      <c r="H206" s="42">
        <f t="shared" si="76"/>
        <v>0</v>
      </c>
      <c r="I206" s="42">
        <f t="shared" si="76"/>
        <v>0</v>
      </c>
      <c r="J206" s="42">
        <f t="shared" si="76"/>
        <v>0</v>
      </c>
      <c r="K206" s="42">
        <f t="shared" si="76"/>
        <v>5.4</v>
      </c>
    </row>
    <row r="207" spans="1:11" ht="13.5" customHeight="1" x14ac:dyDescent="0.2">
      <c r="A207" s="43" t="s">
        <v>147</v>
      </c>
      <c r="B207" s="44" t="s">
        <v>56</v>
      </c>
      <c r="C207" s="41">
        <f t="shared" si="69"/>
        <v>33.1</v>
      </c>
      <c r="D207" s="42">
        <v>4.5</v>
      </c>
      <c r="E207" s="42"/>
      <c r="F207" s="42">
        <v>28.6</v>
      </c>
      <c r="G207" s="42"/>
      <c r="H207" s="42"/>
      <c r="I207" s="42"/>
      <c r="J207" s="42"/>
      <c r="K207" s="42"/>
    </row>
    <row r="208" spans="1:11" ht="13.5" customHeight="1" x14ac:dyDescent="0.2">
      <c r="A208" s="43" t="s">
        <v>148</v>
      </c>
      <c r="B208" s="44" t="s">
        <v>57</v>
      </c>
      <c r="C208" s="41">
        <f t="shared" si="69"/>
        <v>144.80000000000001</v>
      </c>
      <c r="D208" s="42"/>
      <c r="E208" s="42"/>
      <c r="F208" s="42">
        <v>144.80000000000001</v>
      </c>
      <c r="G208" s="42"/>
      <c r="H208" s="42"/>
      <c r="I208" s="42"/>
      <c r="J208" s="42"/>
      <c r="K208" s="42"/>
    </row>
    <row r="209" spans="1:11" ht="13.5" customHeight="1" x14ac:dyDescent="0.2">
      <c r="A209" s="43" t="s">
        <v>149</v>
      </c>
      <c r="B209" s="44" t="s">
        <v>58</v>
      </c>
      <c r="C209" s="41">
        <f t="shared" si="69"/>
        <v>13.3</v>
      </c>
      <c r="D209" s="42">
        <v>13.3</v>
      </c>
      <c r="E209" s="42"/>
      <c r="F209" s="42"/>
      <c r="G209" s="42"/>
      <c r="H209" s="42"/>
      <c r="I209" s="42"/>
      <c r="J209" s="42"/>
      <c r="K209" s="42"/>
    </row>
    <row r="210" spans="1:11" ht="13.5" customHeight="1" x14ac:dyDescent="0.2">
      <c r="A210" s="43" t="s">
        <v>150</v>
      </c>
      <c r="B210" s="50" t="s">
        <v>59</v>
      </c>
      <c r="C210" s="41">
        <f t="shared" si="69"/>
        <v>179.6</v>
      </c>
      <c r="D210" s="42"/>
      <c r="E210" s="42"/>
      <c r="F210" s="42">
        <v>174.2</v>
      </c>
      <c r="G210" s="42"/>
      <c r="H210" s="42"/>
      <c r="I210" s="42"/>
      <c r="J210" s="42"/>
      <c r="K210" s="42">
        <v>5.4</v>
      </c>
    </row>
    <row r="211" spans="1:11" ht="25.5" x14ac:dyDescent="0.2">
      <c r="A211" s="46">
        <v>52</v>
      </c>
      <c r="B211" s="40" t="s">
        <v>49</v>
      </c>
      <c r="C211" s="41">
        <f>+C212+C213+C214+C215</f>
        <v>263</v>
      </c>
      <c r="D211" s="42">
        <f t="shared" ref="D211:K211" si="77">+D212+D213+D214+D215</f>
        <v>16.2</v>
      </c>
      <c r="E211" s="42">
        <f t="shared" si="77"/>
        <v>0</v>
      </c>
      <c r="F211" s="42">
        <f t="shared" si="77"/>
        <v>243.8</v>
      </c>
      <c r="G211" s="42">
        <f t="shared" si="77"/>
        <v>0</v>
      </c>
      <c r="H211" s="42">
        <f t="shared" si="77"/>
        <v>0</v>
      </c>
      <c r="I211" s="42">
        <f t="shared" si="77"/>
        <v>0</v>
      </c>
      <c r="J211" s="42">
        <f t="shared" si="77"/>
        <v>0</v>
      </c>
      <c r="K211" s="42">
        <f t="shared" si="77"/>
        <v>3</v>
      </c>
    </row>
    <row r="212" spans="1:11" ht="13.5" customHeight="1" x14ac:dyDescent="0.2">
      <c r="A212" s="43" t="s">
        <v>151</v>
      </c>
      <c r="B212" s="44" t="s">
        <v>56</v>
      </c>
      <c r="C212" s="41">
        <f t="shared" si="69"/>
        <v>32.200000000000003</v>
      </c>
      <c r="D212" s="42">
        <v>4.5</v>
      </c>
      <c r="E212" s="42"/>
      <c r="F212" s="42">
        <v>27.7</v>
      </c>
      <c r="G212" s="42"/>
      <c r="H212" s="42"/>
      <c r="I212" s="42"/>
      <c r="J212" s="42"/>
      <c r="K212" s="42"/>
    </row>
    <row r="213" spans="1:11" ht="13.5" customHeight="1" x14ac:dyDescent="0.2">
      <c r="A213" s="43" t="s">
        <v>152</v>
      </c>
      <c r="B213" s="44" t="s">
        <v>57</v>
      </c>
      <c r="C213" s="41">
        <f t="shared" si="69"/>
        <v>99.699999999999989</v>
      </c>
      <c r="D213" s="42"/>
      <c r="E213" s="42"/>
      <c r="F213" s="42">
        <f>94.6+5</f>
        <v>99.6</v>
      </c>
      <c r="G213" s="42"/>
      <c r="H213" s="42"/>
      <c r="I213" s="42"/>
      <c r="J213" s="42"/>
      <c r="K213" s="42">
        <v>0.1</v>
      </c>
    </row>
    <row r="214" spans="1:11" ht="13.5" customHeight="1" x14ac:dyDescent="0.2">
      <c r="A214" s="43" t="s">
        <v>153</v>
      </c>
      <c r="B214" s="44" t="s">
        <v>58</v>
      </c>
      <c r="C214" s="41">
        <f t="shared" si="69"/>
        <v>11.7</v>
      </c>
      <c r="D214" s="42">
        <v>11.7</v>
      </c>
      <c r="E214" s="42"/>
      <c r="F214" s="42"/>
      <c r="G214" s="42"/>
      <c r="H214" s="42"/>
      <c r="I214" s="42"/>
      <c r="J214" s="42"/>
      <c r="K214" s="42"/>
    </row>
    <row r="215" spans="1:11" ht="13.5" customHeight="1" x14ac:dyDescent="0.2">
      <c r="A215" s="43" t="s">
        <v>154</v>
      </c>
      <c r="B215" s="50" t="s">
        <v>59</v>
      </c>
      <c r="C215" s="41">
        <f t="shared" si="69"/>
        <v>119.4</v>
      </c>
      <c r="D215" s="42"/>
      <c r="E215" s="42"/>
      <c r="F215" s="42">
        <v>116.5</v>
      </c>
      <c r="G215" s="42"/>
      <c r="H215" s="42"/>
      <c r="I215" s="42"/>
      <c r="J215" s="42"/>
      <c r="K215" s="42">
        <v>2.9</v>
      </c>
    </row>
    <row r="216" spans="1:11" ht="25.5" x14ac:dyDescent="0.2">
      <c r="A216" s="46">
        <v>53</v>
      </c>
      <c r="B216" s="40" t="s">
        <v>50</v>
      </c>
      <c r="C216" s="41">
        <f>+C217+C218+C219+C220</f>
        <v>324.09999999999997</v>
      </c>
      <c r="D216" s="42">
        <f t="shared" ref="D216:K216" si="78">+D217+D218+D219+D220</f>
        <v>21.700000000000003</v>
      </c>
      <c r="E216" s="42">
        <f t="shared" si="78"/>
        <v>0</v>
      </c>
      <c r="F216" s="42">
        <f t="shared" si="78"/>
        <v>296.59999999999997</v>
      </c>
      <c r="G216" s="42">
        <f t="shared" si="78"/>
        <v>0</v>
      </c>
      <c r="H216" s="42">
        <f t="shared" si="78"/>
        <v>0</v>
      </c>
      <c r="I216" s="42">
        <f t="shared" si="78"/>
        <v>0</v>
      </c>
      <c r="J216" s="42">
        <f t="shared" si="78"/>
        <v>0</v>
      </c>
      <c r="K216" s="42">
        <f t="shared" si="78"/>
        <v>5.8</v>
      </c>
    </row>
    <row r="217" spans="1:11" ht="13.5" customHeight="1" x14ac:dyDescent="0.2">
      <c r="A217" s="43" t="s">
        <v>155</v>
      </c>
      <c r="B217" s="44" t="s">
        <v>56</v>
      </c>
      <c r="C217" s="41">
        <f t="shared" si="69"/>
        <v>33.200000000000003</v>
      </c>
      <c r="D217" s="42">
        <v>5.0999999999999996</v>
      </c>
      <c r="E217" s="42"/>
      <c r="F217" s="42">
        <v>28.1</v>
      </c>
      <c r="G217" s="42"/>
      <c r="H217" s="42"/>
      <c r="I217" s="42"/>
      <c r="J217" s="42"/>
      <c r="K217" s="42"/>
    </row>
    <row r="218" spans="1:11" ht="13.5" customHeight="1" x14ac:dyDescent="0.2">
      <c r="A218" s="43" t="s">
        <v>156</v>
      </c>
      <c r="B218" s="44" t="s">
        <v>57</v>
      </c>
      <c r="C218" s="41">
        <f t="shared" si="69"/>
        <v>163</v>
      </c>
      <c r="D218" s="42"/>
      <c r="E218" s="42"/>
      <c r="F218" s="42">
        <f>139.2+20</f>
        <v>159.19999999999999</v>
      </c>
      <c r="G218" s="42"/>
      <c r="H218" s="42"/>
      <c r="I218" s="42"/>
      <c r="J218" s="42"/>
      <c r="K218" s="42">
        <v>3.8</v>
      </c>
    </row>
    <row r="219" spans="1:11" ht="13.5" customHeight="1" x14ac:dyDescent="0.2">
      <c r="A219" s="43" t="s">
        <v>157</v>
      </c>
      <c r="B219" s="44" t="s">
        <v>58</v>
      </c>
      <c r="C219" s="41">
        <f t="shared" si="69"/>
        <v>16.600000000000001</v>
      </c>
      <c r="D219" s="42">
        <v>16.600000000000001</v>
      </c>
      <c r="E219" s="42"/>
      <c r="F219" s="42"/>
      <c r="G219" s="42"/>
      <c r="H219" s="42"/>
      <c r="I219" s="42"/>
      <c r="J219" s="42"/>
      <c r="K219" s="42"/>
    </row>
    <row r="220" spans="1:11" ht="13.5" customHeight="1" x14ac:dyDescent="0.2">
      <c r="A220" s="43" t="s">
        <v>158</v>
      </c>
      <c r="B220" s="50" t="s">
        <v>59</v>
      </c>
      <c r="C220" s="41">
        <f t="shared" si="69"/>
        <v>111.3</v>
      </c>
      <c r="D220" s="42"/>
      <c r="E220" s="42"/>
      <c r="F220" s="42">
        <v>109.3</v>
      </c>
      <c r="G220" s="42"/>
      <c r="H220" s="42"/>
      <c r="I220" s="42"/>
      <c r="J220" s="42"/>
      <c r="K220" s="42">
        <v>2</v>
      </c>
    </row>
    <row r="221" spans="1:11" ht="25.5" x14ac:dyDescent="0.2">
      <c r="A221" s="46">
        <v>54</v>
      </c>
      <c r="B221" s="40" t="s">
        <v>51</v>
      </c>
      <c r="C221" s="41">
        <f>+C222+C223+C224+C225</f>
        <v>299.5</v>
      </c>
      <c r="D221" s="42">
        <f t="shared" ref="D221:K221" si="79">+D222+D223+D224+D225</f>
        <v>17.899999999999999</v>
      </c>
      <c r="E221" s="42">
        <f t="shared" si="79"/>
        <v>0</v>
      </c>
      <c r="F221" s="42">
        <f t="shared" si="79"/>
        <v>273.89999999999998</v>
      </c>
      <c r="G221" s="42">
        <f t="shared" si="79"/>
        <v>0</v>
      </c>
      <c r="H221" s="42">
        <f t="shared" si="79"/>
        <v>0</v>
      </c>
      <c r="I221" s="42">
        <f t="shared" si="79"/>
        <v>0</v>
      </c>
      <c r="J221" s="42">
        <f t="shared" si="79"/>
        <v>0</v>
      </c>
      <c r="K221" s="42">
        <f t="shared" si="79"/>
        <v>7.6999999999999993</v>
      </c>
    </row>
    <row r="222" spans="1:11" ht="13.5" customHeight="1" x14ac:dyDescent="0.2">
      <c r="A222" s="43" t="s">
        <v>159</v>
      </c>
      <c r="B222" s="44" t="s">
        <v>56</v>
      </c>
      <c r="C222" s="41">
        <f t="shared" si="69"/>
        <v>29</v>
      </c>
      <c r="D222" s="42">
        <v>4.5999999999999996</v>
      </c>
      <c r="E222" s="42"/>
      <c r="F222" s="42">
        <v>24.4</v>
      </c>
      <c r="G222" s="42"/>
      <c r="H222" s="42"/>
      <c r="I222" s="42"/>
      <c r="J222" s="42"/>
      <c r="K222" s="42"/>
    </row>
    <row r="223" spans="1:11" ht="13.5" customHeight="1" x14ac:dyDescent="0.2">
      <c r="A223" s="43" t="s">
        <v>161</v>
      </c>
      <c r="B223" s="44" t="s">
        <v>57</v>
      </c>
      <c r="C223" s="41">
        <f t="shared" si="69"/>
        <v>132.9</v>
      </c>
      <c r="D223" s="42"/>
      <c r="E223" s="42"/>
      <c r="F223" s="42">
        <v>132.9</v>
      </c>
      <c r="G223" s="42"/>
      <c r="H223" s="42"/>
      <c r="I223" s="42"/>
      <c r="J223" s="42"/>
      <c r="K223" s="42"/>
    </row>
    <row r="224" spans="1:11" ht="13.5" customHeight="1" x14ac:dyDescent="0.2">
      <c r="A224" s="43" t="s">
        <v>160</v>
      </c>
      <c r="B224" s="44" t="s">
        <v>58</v>
      </c>
      <c r="C224" s="41">
        <f t="shared" si="69"/>
        <v>13.3</v>
      </c>
      <c r="D224" s="42">
        <v>13.3</v>
      </c>
      <c r="E224" s="42"/>
      <c r="F224" s="42"/>
      <c r="G224" s="42"/>
      <c r="H224" s="42"/>
      <c r="I224" s="42"/>
      <c r="J224" s="42"/>
      <c r="K224" s="42"/>
    </row>
    <row r="225" spans="1:11" ht="13.5" customHeight="1" x14ac:dyDescent="0.2">
      <c r="A225" s="43" t="s">
        <v>162</v>
      </c>
      <c r="B225" s="50" t="s">
        <v>59</v>
      </c>
      <c r="C225" s="41">
        <f t="shared" si="69"/>
        <v>124.3</v>
      </c>
      <c r="D225" s="42"/>
      <c r="E225" s="42"/>
      <c r="F225" s="42">
        <v>116.6</v>
      </c>
      <c r="G225" s="42"/>
      <c r="H225" s="42"/>
      <c r="I225" s="42"/>
      <c r="J225" s="42"/>
      <c r="K225" s="42">
        <f>4.3+3.4</f>
        <v>7.6999999999999993</v>
      </c>
    </row>
    <row r="226" spans="1:11" ht="25.5" x14ac:dyDescent="0.2">
      <c r="A226" s="46">
        <v>55</v>
      </c>
      <c r="B226" s="40" t="s">
        <v>52</v>
      </c>
      <c r="C226" s="41">
        <f>+C227+C228+C229+C230</f>
        <v>520.90000000000009</v>
      </c>
      <c r="D226" s="42">
        <f t="shared" ref="D226:K226" si="80">+D227+D228+D229+D230</f>
        <v>13.4</v>
      </c>
      <c r="E226" s="42">
        <f t="shared" si="80"/>
        <v>0</v>
      </c>
      <c r="F226" s="42">
        <f t="shared" si="80"/>
        <v>502.8</v>
      </c>
      <c r="G226" s="42">
        <f t="shared" si="80"/>
        <v>0</v>
      </c>
      <c r="H226" s="42">
        <f t="shared" si="80"/>
        <v>0</v>
      </c>
      <c r="I226" s="42">
        <f t="shared" si="80"/>
        <v>0</v>
      </c>
      <c r="J226" s="42">
        <f t="shared" si="80"/>
        <v>0</v>
      </c>
      <c r="K226" s="42">
        <f t="shared" si="80"/>
        <v>4.7</v>
      </c>
    </row>
    <row r="227" spans="1:11" ht="13.5" customHeight="1" x14ac:dyDescent="0.2">
      <c r="A227" s="43" t="s">
        <v>163</v>
      </c>
      <c r="B227" s="51" t="s">
        <v>56</v>
      </c>
      <c r="C227" s="41">
        <f t="shared" si="69"/>
        <v>39.6</v>
      </c>
      <c r="D227" s="42">
        <v>5.0999999999999996</v>
      </c>
      <c r="E227" s="42"/>
      <c r="F227" s="42">
        <v>34.5</v>
      </c>
      <c r="G227" s="42"/>
      <c r="H227" s="42"/>
      <c r="I227" s="42"/>
      <c r="J227" s="42"/>
      <c r="K227" s="42"/>
    </row>
    <row r="228" spans="1:11" ht="13.5" customHeight="1" x14ac:dyDescent="0.2">
      <c r="A228" s="43" t="s">
        <v>165</v>
      </c>
      <c r="B228" s="51" t="s">
        <v>57</v>
      </c>
      <c r="C228" s="41">
        <f t="shared" si="69"/>
        <v>285.60000000000002</v>
      </c>
      <c r="D228" s="42"/>
      <c r="E228" s="42"/>
      <c r="F228" s="42">
        <v>285.60000000000002</v>
      </c>
      <c r="G228" s="42"/>
      <c r="H228" s="42"/>
      <c r="I228" s="42"/>
      <c r="J228" s="42"/>
      <c r="K228" s="42"/>
    </row>
    <row r="229" spans="1:11" ht="13.5" customHeight="1" x14ac:dyDescent="0.2">
      <c r="A229" s="43" t="s">
        <v>164</v>
      </c>
      <c r="B229" s="51" t="s">
        <v>58</v>
      </c>
      <c r="C229" s="41">
        <f t="shared" si="69"/>
        <v>8.3000000000000007</v>
      </c>
      <c r="D229" s="42">
        <v>8.3000000000000007</v>
      </c>
      <c r="E229" s="42"/>
      <c r="F229" s="42"/>
      <c r="G229" s="42"/>
      <c r="H229" s="42"/>
      <c r="I229" s="42"/>
      <c r="J229" s="42"/>
      <c r="K229" s="42"/>
    </row>
    <row r="230" spans="1:11" ht="13.5" customHeight="1" x14ac:dyDescent="0.2">
      <c r="A230" s="43" t="s">
        <v>166</v>
      </c>
      <c r="B230" s="52" t="s">
        <v>59</v>
      </c>
      <c r="C230" s="53">
        <f t="shared" si="69"/>
        <v>187.39999999999998</v>
      </c>
      <c r="D230" s="54"/>
      <c r="E230" s="54"/>
      <c r="F230" s="54">
        <v>182.7</v>
      </c>
      <c r="G230" s="54"/>
      <c r="H230" s="54"/>
      <c r="I230" s="54"/>
      <c r="J230" s="54"/>
      <c r="K230" s="54">
        <v>4.7</v>
      </c>
    </row>
    <row r="231" spans="1:11" ht="13.5" customHeight="1" x14ac:dyDescent="0.2">
      <c r="A231" s="66">
        <v>56</v>
      </c>
      <c r="B231" s="82" t="s">
        <v>68</v>
      </c>
      <c r="C231" s="55">
        <v>134280.5</v>
      </c>
      <c r="D231" s="55">
        <v>7966.5</v>
      </c>
      <c r="E231" s="55">
        <v>28783.1</v>
      </c>
      <c r="F231" s="80">
        <f>+F12+F16+F20+F24+F28+F32+F36+F40+F42+F47+F51+F54+F59+F63+F67+F70+F74+F78+F82+F86+F88+F93+F97+F100+F103+F106+F111+F114+F118+F120+F122+F124+F126+F128+F132+F136+F138+F142+F146+F153+F157+F161+F163+F166+F176+F180+F185+F190+F195+F201+F206+F211+F216+F221+F226</f>
        <v>72348.100000000006</v>
      </c>
      <c r="G231" s="55">
        <v>10121.700000000001</v>
      </c>
      <c r="H231" s="80">
        <f>+H12+H17+H21+H25+H29+H33+H37+H40+H43+H47+H51+H55+H59+H63+H67+H71+H75+H79+H83+H86+H89+H93+H97+H100+H103+H107+H111+H115+H118+H120+H122+H124+H126+H129+H133+H136+H139+H143+H147+H153+H157+H161+H163+H165+H176+H180+H185+H190+H195+H201+H206+H211+H216+H221+H226</f>
        <v>5864</v>
      </c>
      <c r="I231" s="57">
        <v>634.4</v>
      </c>
      <c r="J231" s="80">
        <f>+J13+J17+J21+J25+J29+J33+J37+J40+J43+J47+J51+J55+J59+J63+J67+J71+J75+J79+J83+J86+J89+J93+J97+J100+J103+J107+J111+J115+J118+J120+J122+J124+J126+J129+J133+J136+J139+J143+J147+J153+J158+J161+J163+J165+J176+J180+J185+J190+J195+J201+J206+J211+J216+J221+J226</f>
        <v>4375.2</v>
      </c>
      <c r="K231" s="80">
        <f>+K12+K16+K20+K24+K28+K32+K36+K40+K42+K46+K50+K54+K58+K62+K66+K70+K74+K78+K82+K86+K88+K92+K96+K100+K102+K106+K110+K114+K118+K120+K122+K124+K126+K128+K132+K136+K138+K142+K146+K153+K157+K161+K163+K165+K176+K180+K185+K190+K195+K201+K206+K211+K216+K221+K226</f>
        <v>4187.4999999999991</v>
      </c>
    </row>
    <row r="232" spans="1:11" x14ac:dyDescent="0.2">
      <c r="A232" s="67"/>
      <c r="B232" s="83"/>
      <c r="C232" s="56">
        <f>+C13+C17+C21+C25+C29+C33+C37+C40+C43+C47+C51+C55+C59+C63+C67+C71+C75+C79+C83+C86+C89+C93+C97+C100+C102+C107+C110+C115+C118+C120+C122+C124+C126+C129+C133+C136+C139+C143+C147+C153+C158+C161+C163+C166+C176+C180+C185+C190+C195+C201+C206+C211+C216+C221+C226</f>
        <v>134798.29999999999</v>
      </c>
      <c r="D232" s="56">
        <f>+D12+D17+D21+D25+D29+D33+D37+D40+D43+D47+D51+D55+D59+D63+D67+D71+D75+D79+D83+D86+D89+D93+D97+D100+D103+D107+D111+D115+D118+D120+D122+D124+D126+D129+D133+D136+D139+D143+D147+D153+D157+D161+D163+D166+D176+D180+D185+D190+D195+D201+D206+D211+D216+D221+D226</f>
        <v>8521.7000000000007</v>
      </c>
      <c r="E232" s="56">
        <f>+E13+E17+E21+E25+E29+E33+E37+E40+E43+E47+E50+E55+E59+E63+E67+E71+E75+E79+E83+E86+E89+E93+E97+E100+E103+E107+E111+E115+E118+E120+E122+E124+E126+E129+E133+E136+E138+E143+E147+E153+E157+E161+E163+E165+E176+E180+E185+E190+E195+E201+E206+E211+E216+E221+E226</f>
        <v>28563.600000000006</v>
      </c>
      <c r="F232" s="81"/>
      <c r="G232" s="56">
        <f>+G13+G17+G21+G24+G28+G33+G37+G40+G42+G46+G50+G54+G58+G62+G66+G70+G75+G78+G82+G86+G88+G92+G97+G100+G102+G106+G110+G115+G118+G120+G122+G124+G126+G129+G133+G136+G138+G142+G146+G153+G158+G161+G163+G166+G176+G180+G185+G190+G195+G201+G206+G211+G216+G221+G226</f>
        <v>10183.799999999999</v>
      </c>
      <c r="H232" s="81"/>
      <c r="I232" s="58">
        <v>754.4</v>
      </c>
      <c r="J232" s="81"/>
      <c r="K232" s="81"/>
    </row>
    <row r="234" spans="1:11" ht="15" customHeight="1" x14ac:dyDescent="0.2">
      <c r="A234" s="107" t="s">
        <v>221</v>
      </c>
      <c r="B234" s="108"/>
      <c r="C234" s="108"/>
      <c r="D234" s="108"/>
      <c r="E234" s="108"/>
      <c r="F234" s="108"/>
      <c r="G234" s="108"/>
      <c r="H234" s="108"/>
      <c r="I234" s="108"/>
      <c r="J234" s="108"/>
      <c r="K234" s="109"/>
    </row>
    <row r="235" spans="1:11" ht="15" customHeight="1" x14ac:dyDescent="0.2">
      <c r="A235" s="84" t="s">
        <v>55</v>
      </c>
      <c r="B235" s="85"/>
      <c r="C235" s="55">
        <v>65333.4</v>
      </c>
      <c r="D235" s="90">
        <f>+D15+D19+D23+D27+D31+D35+D39+D41+D45+D49+D53+D57+D61+D65+D69+D73+D77+D81+D85+D87+D91+D95+D99+D101+D105+D109+D113+D117+D119+D121+D123+D125+D127+D131+D135+D149+D154+D168+D196</f>
        <v>0</v>
      </c>
      <c r="E235" s="55">
        <v>28783.1</v>
      </c>
      <c r="F235" s="55">
        <v>30173.9</v>
      </c>
      <c r="G235" s="55">
        <v>2317.6</v>
      </c>
      <c r="H235" s="121">
        <f>+H15+H19+H23+H27+H31+H35+H39+H41+H45+H49+H53+H57+H61+H65+H69+H73+H77+H81+H85+H87+H91+H95+H99+H101+H105+H109+H113+H117+H119+H121+H123+H125+H127+H131+H135+H149+H154+H167+H196</f>
        <v>1753</v>
      </c>
      <c r="I235" s="23">
        <v>299.39999999999998</v>
      </c>
      <c r="J235" s="122">
        <f>+J15+J19+J23+J27+J31+J35+J39+J41+J45+J49+J53+J57+J61+J65+J69+J73+J77+J81+J85+J87+J91+J95+J99+J101+J105+J109+J113+J117+J119+J121+J123+J125+J127+J131+J135+J149+J154+J168+J196</f>
        <v>0</v>
      </c>
      <c r="K235" s="121">
        <f>+K14+K18+K22+K26+K30+K34+K38+K41+K44+K48+K52+K56+K60+K64+K68+K72+K76+K80+K84+K87+K90+K94+K98+K101+K104+K108+K112+K116+K119+K121+K123+K125+K127+K130+K134+K148+K154+K168+K196</f>
        <v>2006.4</v>
      </c>
    </row>
    <row r="236" spans="1:11" ht="13.5" customHeight="1" x14ac:dyDescent="0.2">
      <c r="A236" s="86"/>
      <c r="B236" s="87"/>
      <c r="C236" s="56">
        <f>+C15+C19+C23+C27+C31+C35+C39+C41+C45+C49+C53+C57+C61+C65+C69+C73+C77+C81+C85+C87+C91+C95+C99+C101+C104+C109+C112+C117+C119+C121+C123+C125+C127+C131+C135+C149+C154+C168+C196</f>
        <v>65301.799999999996</v>
      </c>
      <c r="D236" s="91"/>
      <c r="E236" s="56">
        <f>+E15+E19+E23+E27+E31+E35+E39+E41+E45+E49+E52+E57+E61+E65+E69+E73+E77+E81+E85+E87+E91+E95+E99+E101+E105+E109+E113+E117+E119+E121+E123+E125+E127+E131+E135+E149+E154+E168+E196</f>
        <v>28563.600000000006</v>
      </c>
      <c r="F236" s="56">
        <f>+F14+F18+F22+F26+F30+F34+F38+F41+F44+F49+F53+F56+F61+F65+F69+F72+F76+F80+F84+F87+F90+F95+F99+F101+F105+F108+F113+F116+F119+F121+F123+F125+F127+F130+F134+F148+F154+F167+F196</f>
        <v>30198.899999999998</v>
      </c>
      <c r="G236" s="56">
        <f>+G15+G19+G23+G26+G30+G35+G39+G41+G44+G48+G52+G56+G60+G64+G68+G72+G77+G80+G84+G87+G90+G94+G99+G101+G104+G108+G112+G117+G119+G121+G123+G125+G127+G131+G135+G148+G154+G168+G196</f>
        <v>2360.5000000000005</v>
      </c>
      <c r="H236" s="121"/>
      <c r="I236" s="14">
        <v>419.4</v>
      </c>
      <c r="J236" s="122"/>
      <c r="K236" s="121"/>
    </row>
    <row r="237" spans="1:11" ht="13.5" customHeight="1" x14ac:dyDescent="0.2">
      <c r="A237" s="84" t="s">
        <v>56</v>
      </c>
      <c r="B237" s="88"/>
      <c r="C237" s="55">
        <v>30196.799999999999</v>
      </c>
      <c r="D237" s="55">
        <v>7045.8</v>
      </c>
      <c r="E237" s="72">
        <f>+E137+E141+E145+E151+E156+E160+E162+E170+E177+E181+E186+E191+E197+E202+E207+E212+E217+E222+E227</f>
        <v>0</v>
      </c>
      <c r="F237" s="55">
        <v>16372.9</v>
      </c>
      <c r="G237" s="55">
        <v>1732.9</v>
      </c>
      <c r="H237" s="76">
        <f>+H137+H141+H145+H151+H156+H160+H162+H169+H177+H181+H186+H191+H197+H202+H207+H212+H217+H222+H227</f>
        <v>2656</v>
      </c>
      <c r="I237" s="76">
        <f>+I137+I141+I145+I151+I156+I160+I162+I169+I177+I181+I186+I191+I197+I202+I207+I212+I217+I222+I227</f>
        <v>335</v>
      </c>
      <c r="J237" s="60">
        <f>+J137+J141+J145+J151+J156+J160+J162+J170+J177+J181+J186+J191+J197+J202+J207+J212+J217+J222+J227</f>
        <v>0</v>
      </c>
      <c r="K237" s="76">
        <f>+K137+K140+K144+K150+K156+K159+K162+K170+K177+K181+K186+K191+K197+K202+K207+K212+K217+K222+K227</f>
        <v>2054.1999999999998</v>
      </c>
    </row>
    <row r="238" spans="1:11" ht="13.5" customHeight="1" x14ac:dyDescent="0.2">
      <c r="A238" s="86"/>
      <c r="B238" s="89"/>
      <c r="C238" s="56">
        <f>+C137+C141+C145+C151+C156+C160+C162+C170+C177+C181+C186+C191+C197+C202+C207+C212+C217+C222+C227</f>
        <v>30706.899999999998</v>
      </c>
      <c r="D238" s="56">
        <f>+D137+D141+D145+D151+D156+D159+D162+D170+D177+D181+D186+D191+D197+D202+D207+D212+D217+D222+D227</f>
        <v>7595.800000000002</v>
      </c>
      <c r="E238" s="73"/>
      <c r="F238" s="56">
        <f>+F137+F140+F144+F150+F156+F159+F162+F170+F177+F181+F186+F191+F197+F202+F207+F212+F217+F222+F227</f>
        <v>16347.9</v>
      </c>
      <c r="G238" s="56">
        <f>+G137+G140+G144+G150+G156+G160+G162+G170+G177+G181+G186+G191+G197+G202+G207+G212+G217+G222+G227</f>
        <v>1717.9999999999998</v>
      </c>
      <c r="H238" s="77"/>
      <c r="I238" s="77"/>
      <c r="J238" s="61"/>
      <c r="K238" s="77"/>
    </row>
    <row r="239" spans="1:11" ht="13.5" customHeight="1" x14ac:dyDescent="0.2">
      <c r="A239" s="111" t="s">
        <v>57</v>
      </c>
      <c r="B239" s="112"/>
      <c r="C239" s="41">
        <f>+C171+C178+C182+C187+C192+C198+C203+C208+C213+C218+C223+C228</f>
        <v>20672.8</v>
      </c>
      <c r="D239" s="42">
        <f t="shared" ref="D239:K239" si="81">+D171+D178+D182+D187+D192+D198+D203+D208+D213+D218+D223+D228</f>
        <v>0</v>
      </c>
      <c r="E239" s="42">
        <f t="shared" si="81"/>
        <v>0</v>
      </c>
      <c r="F239" s="41">
        <f t="shared" si="81"/>
        <v>13827.800000000001</v>
      </c>
      <c r="G239" s="41">
        <f t="shared" si="81"/>
        <v>3485.9</v>
      </c>
      <c r="H239" s="41">
        <f t="shared" si="81"/>
        <v>1200</v>
      </c>
      <c r="I239" s="42">
        <f t="shared" si="81"/>
        <v>0</v>
      </c>
      <c r="J239" s="41">
        <f t="shared" si="81"/>
        <v>2142.1999999999998</v>
      </c>
      <c r="K239" s="41">
        <f t="shared" si="81"/>
        <v>16.899999999999999</v>
      </c>
    </row>
    <row r="240" spans="1:11" ht="13.5" customHeight="1" x14ac:dyDescent="0.2">
      <c r="A240" s="84" t="s">
        <v>58</v>
      </c>
      <c r="B240" s="88"/>
      <c r="C240" s="55">
        <v>4927.6000000000004</v>
      </c>
      <c r="D240" s="76">
        <f>+D172+D183+D188+D193+D204+D209+D219+D224+D229+D214+D199</f>
        <v>689.69999999999993</v>
      </c>
      <c r="E240" s="72">
        <f>+E173+E183+E188+E193+E204+E209+E219+E224+E229+E214+E199</f>
        <v>0</v>
      </c>
      <c r="F240" s="76">
        <f>+F172+F183+F188+F193+F204+F209+F219+F224+F229+F214+F199</f>
        <v>1397.6</v>
      </c>
      <c r="G240" s="55">
        <v>2585.3000000000002</v>
      </c>
      <c r="H240" s="76">
        <f>+H172+H183+H188+H193+H204+H209+H219+H224+H229+H214+H199</f>
        <v>255</v>
      </c>
      <c r="I240" s="74"/>
      <c r="J240" s="74"/>
      <c r="K240" s="74"/>
    </row>
    <row r="241" spans="1:11" ht="13.5" customHeight="1" x14ac:dyDescent="0.2">
      <c r="A241" s="86"/>
      <c r="B241" s="89"/>
      <c r="C241" s="56">
        <f>+C173+C183+C188+C193+C204+C209+C219+C224+C229+C214+C199</f>
        <v>4961.7000000000007</v>
      </c>
      <c r="D241" s="77"/>
      <c r="E241" s="73"/>
      <c r="F241" s="77"/>
      <c r="G241" s="56">
        <f t="shared" ref="G241" si="82">+G173+G183+G188+G193+G204+G209+G219+G224+G229+G214+G199</f>
        <v>2619.3999999999996</v>
      </c>
      <c r="H241" s="77"/>
      <c r="I241" s="75"/>
      <c r="J241" s="75"/>
      <c r="K241" s="75"/>
    </row>
    <row r="242" spans="1:11" ht="13.5" customHeight="1" x14ac:dyDescent="0.2">
      <c r="A242" s="113" t="s">
        <v>59</v>
      </c>
      <c r="B242" s="114"/>
      <c r="C242" s="55">
        <v>13149.9</v>
      </c>
      <c r="D242" s="55">
        <v>231</v>
      </c>
      <c r="E242" s="72">
        <f>+E164+E175+E179+E184+E189+E194+E200+E205+E210+E215+E220+E225+E230</f>
        <v>0</v>
      </c>
      <c r="F242" s="76">
        <f>+F164+F174+F179+F184+F189+F194+F200+F205+F210+F215+F220+F225+F230</f>
        <v>10575.900000000001</v>
      </c>
      <c r="G242" s="74"/>
      <c r="H242" s="74"/>
      <c r="I242" s="74"/>
      <c r="J242" s="76">
        <f>+J164+J174+J179+J184+J189+J194+J200+J205+J210+J215+J220+J225+J230</f>
        <v>2233</v>
      </c>
      <c r="K242" s="76">
        <f>+K164+K174+K179+K184+K189+K194+K200+K205+K210+K215+K220+K225+K230</f>
        <v>110.00000000000001</v>
      </c>
    </row>
    <row r="243" spans="1:11" ht="13.5" customHeight="1" x14ac:dyDescent="0.2">
      <c r="A243" s="115"/>
      <c r="B243" s="116"/>
      <c r="C243" s="56">
        <f>+C164+C175+C179+C184+C189+C194+C200+C205+C210+C215+C220+C225+C230</f>
        <v>13155.099999999997</v>
      </c>
      <c r="D243" s="56">
        <f>+D164+D175+D179+D184+D189+D194+D200+D205+D210+D215+D220+D225+D230</f>
        <v>236.2</v>
      </c>
      <c r="E243" s="73"/>
      <c r="F243" s="77"/>
      <c r="G243" s="75"/>
      <c r="H243" s="75"/>
      <c r="I243" s="75"/>
      <c r="J243" s="77"/>
      <c r="K243" s="77"/>
    </row>
    <row r="244" spans="1:11" ht="13.5" customHeight="1" x14ac:dyDescent="0.2">
      <c r="A244" s="117" t="s">
        <v>68</v>
      </c>
      <c r="B244" s="118"/>
      <c r="C244" s="55">
        <v>134280.5</v>
      </c>
      <c r="D244" s="55">
        <v>7966.5</v>
      </c>
      <c r="E244" s="55">
        <v>28783.1</v>
      </c>
      <c r="F244" s="80">
        <v>72348.100000000006</v>
      </c>
      <c r="G244" s="55">
        <v>10121.700000000001</v>
      </c>
      <c r="H244" s="80">
        <v>5864</v>
      </c>
      <c r="I244" s="57">
        <v>634.4</v>
      </c>
      <c r="J244" s="80">
        <v>4375.2</v>
      </c>
      <c r="K244" s="80">
        <v>4187.4999999999991</v>
      </c>
    </row>
    <row r="245" spans="1:11" ht="12.75" customHeight="1" x14ac:dyDescent="0.2">
      <c r="A245" s="119"/>
      <c r="B245" s="120"/>
      <c r="C245" s="56">
        <v>134798.29999999999</v>
      </c>
      <c r="D245" s="56">
        <v>8521.7000000000007</v>
      </c>
      <c r="E245" s="56">
        <v>28563.600000000006</v>
      </c>
      <c r="F245" s="81"/>
      <c r="G245" s="56">
        <v>10183.799999999999</v>
      </c>
      <c r="H245" s="81"/>
      <c r="I245" s="58">
        <v>754.4</v>
      </c>
      <c r="J245" s="81"/>
      <c r="K245" s="81"/>
    </row>
    <row r="247" spans="1:11" x14ac:dyDescent="0.2">
      <c r="C247" s="59"/>
      <c r="D247" s="59"/>
    </row>
    <row r="248" spans="1:11" x14ac:dyDescent="0.2">
      <c r="D248" s="110" t="s">
        <v>210</v>
      </c>
      <c r="E248" s="110"/>
      <c r="F248" s="110"/>
      <c r="G248" s="110"/>
      <c r="H248" s="110"/>
    </row>
  </sheetData>
  <mergeCells count="637">
    <mergeCell ref="A234:K234"/>
    <mergeCell ref="D248:H248"/>
    <mergeCell ref="A239:B239"/>
    <mergeCell ref="A240:B241"/>
    <mergeCell ref="A242:B243"/>
    <mergeCell ref="A244:B245"/>
    <mergeCell ref="H235:H236"/>
    <mergeCell ref="J235:J236"/>
    <mergeCell ref="K235:K236"/>
    <mergeCell ref="H237:H238"/>
    <mergeCell ref="E242:E243"/>
    <mergeCell ref="F240:F241"/>
    <mergeCell ref="F242:F243"/>
    <mergeCell ref="G242:G243"/>
    <mergeCell ref="H242:H243"/>
    <mergeCell ref="J237:J238"/>
    <mergeCell ref="K237:K238"/>
    <mergeCell ref="D240:D241"/>
    <mergeCell ref="E237:E238"/>
    <mergeCell ref="E240:E241"/>
    <mergeCell ref="F244:F245"/>
    <mergeCell ref="H244:H245"/>
    <mergeCell ref="J244:J245"/>
    <mergeCell ref="K244:K245"/>
    <mergeCell ref="G1:K1"/>
    <mergeCell ref="H5:K5"/>
    <mergeCell ref="A6:K6"/>
    <mergeCell ref="A8:A10"/>
    <mergeCell ref="B8:B10"/>
    <mergeCell ref="C8:C10"/>
    <mergeCell ref="D8:K8"/>
    <mergeCell ref="D9:D10"/>
    <mergeCell ref="E9:E10"/>
    <mergeCell ref="F9:K9"/>
    <mergeCell ref="G3:K3"/>
    <mergeCell ref="G4:K4"/>
    <mergeCell ref="I14:I15"/>
    <mergeCell ref="J14:J15"/>
    <mergeCell ref="B12:B13"/>
    <mergeCell ref="B14:B15"/>
    <mergeCell ref="A12:A13"/>
    <mergeCell ref="A14:A15"/>
    <mergeCell ref="D12:D13"/>
    <mergeCell ref="D14:D15"/>
    <mergeCell ref="G2:K2"/>
    <mergeCell ref="B18:B19"/>
    <mergeCell ref="B20:B21"/>
    <mergeCell ref="B22:B23"/>
    <mergeCell ref="B24:B25"/>
    <mergeCell ref="K12:K13"/>
    <mergeCell ref="K14:K15"/>
    <mergeCell ref="F12:F13"/>
    <mergeCell ref="F14:F15"/>
    <mergeCell ref="A38:A39"/>
    <mergeCell ref="A36:A37"/>
    <mergeCell ref="A34:A35"/>
    <mergeCell ref="A32:A33"/>
    <mergeCell ref="A30:A31"/>
    <mergeCell ref="A28:A29"/>
    <mergeCell ref="A26:A27"/>
    <mergeCell ref="A24:A25"/>
    <mergeCell ref="A22:A23"/>
    <mergeCell ref="A20:A21"/>
    <mergeCell ref="A18:A19"/>
    <mergeCell ref="A16:A17"/>
    <mergeCell ref="H12:H13"/>
    <mergeCell ref="H14:H15"/>
    <mergeCell ref="I12:I13"/>
    <mergeCell ref="J12:J13"/>
    <mergeCell ref="F16:F17"/>
    <mergeCell ref="F18:F19"/>
    <mergeCell ref="B36:B37"/>
    <mergeCell ref="B38:B39"/>
    <mergeCell ref="D16:D17"/>
    <mergeCell ref="D18:D19"/>
    <mergeCell ref="H16:H17"/>
    <mergeCell ref="H18:H19"/>
    <mergeCell ref="D26:D27"/>
    <mergeCell ref="D28:D29"/>
    <mergeCell ref="D30:D31"/>
    <mergeCell ref="D32:D33"/>
    <mergeCell ref="D34:D35"/>
    <mergeCell ref="D36:D37"/>
    <mergeCell ref="D38:D39"/>
    <mergeCell ref="H26:H27"/>
    <mergeCell ref="H30:H31"/>
    <mergeCell ref="H34:H35"/>
    <mergeCell ref="B26:B27"/>
    <mergeCell ref="B28:B29"/>
    <mergeCell ref="B30:B31"/>
    <mergeCell ref="B32:B33"/>
    <mergeCell ref="B34:B35"/>
    <mergeCell ref="B16:B17"/>
    <mergeCell ref="J26:J27"/>
    <mergeCell ref="H28:H29"/>
    <mergeCell ref="I28:I29"/>
    <mergeCell ref="J28:J29"/>
    <mergeCell ref="K16:K17"/>
    <mergeCell ref="K18:K19"/>
    <mergeCell ref="D20:D21"/>
    <mergeCell ref="D22:D23"/>
    <mergeCell ref="D24:D25"/>
    <mergeCell ref="H20:H21"/>
    <mergeCell ref="I20:I21"/>
    <mergeCell ref="J20:J21"/>
    <mergeCell ref="H22:H23"/>
    <mergeCell ref="I22:I23"/>
    <mergeCell ref="J22:J23"/>
    <mergeCell ref="H24:H25"/>
    <mergeCell ref="I24:I25"/>
    <mergeCell ref="J24:J25"/>
    <mergeCell ref="F20:F21"/>
    <mergeCell ref="F22:F23"/>
    <mergeCell ref="I16:I17"/>
    <mergeCell ref="I18:I19"/>
    <mergeCell ref="J16:J17"/>
    <mergeCell ref="J18:J19"/>
    <mergeCell ref="H38:H39"/>
    <mergeCell ref="I38:I39"/>
    <mergeCell ref="J38:J3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I34:I35"/>
    <mergeCell ref="J34:J35"/>
    <mergeCell ref="H36:H37"/>
    <mergeCell ref="I36:I37"/>
    <mergeCell ref="J36:J37"/>
    <mergeCell ref="I30:I31"/>
    <mergeCell ref="J30:J31"/>
    <mergeCell ref="H32:H33"/>
    <mergeCell ref="I32:I33"/>
    <mergeCell ref="J32:J33"/>
    <mergeCell ref="I26:I27"/>
    <mergeCell ref="F34:F35"/>
    <mergeCell ref="F36:F37"/>
    <mergeCell ref="F38:F39"/>
    <mergeCell ref="G24:G25"/>
    <mergeCell ref="G26:G27"/>
    <mergeCell ref="G28:G29"/>
    <mergeCell ref="G30:G31"/>
    <mergeCell ref="F24:F25"/>
    <mergeCell ref="F26:F27"/>
    <mergeCell ref="F28:F29"/>
    <mergeCell ref="F30:F31"/>
    <mergeCell ref="F32:F33"/>
    <mergeCell ref="B74:B75"/>
    <mergeCell ref="B72:B73"/>
    <mergeCell ref="B70:B71"/>
    <mergeCell ref="B68:B69"/>
    <mergeCell ref="B66:B67"/>
    <mergeCell ref="B84:B85"/>
    <mergeCell ref="B82:B83"/>
    <mergeCell ref="B80:B81"/>
    <mergeCell ref="B78:B79"/>
    <mergeCell ref="B76:B77"/>
    <mergeCell ref="A66:A67"/>
    <mergeCell ref="A64:A65"/>
    <mergeCell ref="A62:A63"/>
    <mergeCell ref="A60:A61"/>
    <mergeCell ref="A58:A59"/>
    <mergeCell ref="B54:B55"/>
    <mergeCell ref="B52:B53"/>
    <mergeCell ref="B50:B51"/>
    <mergeCell ref="B48:B49"/>
    <mergeCell ref="B64:B65"/>
    <mergeCell ref="B62:B63"/>
    <mergeCell ref="B60:B61"/>
    <mergeCell ref="B58:B59"/>
    <mergeCell ref="B56:B57"/>
    <mergeCell ref="A84:A85"/>
    <mergeCell ref="A82:A83"/>
    <mergeCell ref="A80:A81"/>
    <mergeCell ref="A78:A79"/>
    <mergeCell ref="A76:A77"/>
    <mergeCell ref="A74:A75"/>
    <mergeCell ref="A72:A73"/>
    <mergeCell ref="A70:A71"/>
    <mergeCell ref="A68:A69"/>
    <mergeCell ref="A46:A47"/>
    <mergeCell ref="A44:A45"/>
    <mergeCell ref="A42:A43"/>
    <mergeCell ref="H42:H43"/>
    <mergeCell ref="I42:I43"/>
    <mergeCell ref="A56:A57"/>
    <mergeCell ref="A54:A55"/>
    <mergeCell ref="A52:A53"/>
    <mergeCell ref="A50:A51"/>
    <mergeCell ref="A48:A49"/>
    <mergeCell ref="B44:B45"/>
    <mergeCell ref="B42:B43"/>
    <mergeCell ref="B46:B47"/>
    <mergeCell ref="D46:D47"/>
    <mergeCell ref="D48:D49"/>
    <mergeCell ref="D50:D51"/>
    <mergeCell ref="D52:D53"/>
    <mergeCell ref="D54:D55"/>
    <mergeCell ref="D56:D57"/>
    <mergeCell ref="J42:J43"/>
    <mergeCell ref="H44:H45"/>
    <mergeCell ref="I44:I45"/>
    <mergeCell ref="J44:J45"/>
    <mergeCell ref="D42:D43"/>
    <mergeCell ref="D44:D45"/>
    <mergeCell ref="F42:F43"/>
    <mergeCell ref="F44:F45"/>
    <mergeCell ref="G42:G43"/>
    <mergeCell ref="G44:G45"/>
    <mergeCell ref="K68:K69"/>
    <mergeCell ref="K70:K71"/>
    <mergeCell ref="K52:K53"/>
    <mergeCell ref="K54:K55"/>
    <mergeCell ref="K56:K57"/>
    <mergeCell ref="K58:K59"/>
    <mergeCell ref="K60:K61"/>
    <mergeCell ref="K42:K43"/>
    <mergeCell ref="K44:K45"/>
    <mergeCell ref="K46:K47"/>
    <mergeCell ref="K48:K49"/>
    <mergeCell ref="K50:K51"/>
    <mergeCell ref="K84:K85"/>
    <mergeCell ref="H46:H47"/>
    <mergeCell ref="I46:I47"/>
    <mergeCell ref="J46:J47"/>
    <mergeCell ref="H48:H49"/>
    <mergeCell ref="I48:I49"/>
    <mergeCell ref="J48:J49"/>
    <mergeCell ref="H50:H51"/>
    <mergeCell ref="I50:I51"/>
    <mergeCell ref="J50:J51"/>
    <mergeCell ref="H52:H53"/>
    <mergeCell ref="I52:I53"/>
    <mergeCell ref="J52:J53"/>
    <mergeCell ref="H54:H55"/>
    <mergeCell ref="I54:I55"/>
    <mergeCell ref="J54:J55"/>
    <mergeCell ref="K72:K73"/>
    <mergeCell ref="K74:K75"/>
    <mergeCell ref="K76:K77"/>
    <mergeCell ref="K78:K79"/>
    <mergeCell ref="K80:K81"/>
    <mergeCell ref="K62:K63"/>
    <mergeCell ref="K64:K65"/>
    <mergeCell ref="K66:K67"/>
    <mergeCell ref="H60:H61"/>
    <mergeCell ref="I60:I61"/>
    <mergeCell ref="J60:J61"/>
    <mergeCell ref="H62:H63"/>
    <mergeCell ref="I62:I63"/>
    <mergeCell ref="J62:J63"/>
    <mergeCell ref="H56:H57"/>
    <mergeCell ref="I56:I57"/>
    <mergeCell ref="J56:J57"/>
    <mergeCell ref="H58:H59"/>
    <mergeCell ref="I58:I59"/>
    <mergeCell ref="J58:J59"/>
    <mergeCell ref="D64:D65"/>
    <mergeCell ref="D66:D67"/>
    <mergeCell ref="D68:D69"/>
    <mergeCell ref="D70:D71"/>
    <mergeCell ref="H80:H81"/>
    <mergeCell ref="I80:I81"/>
    <mergeCell ref="J80:J81"/>
    <mergeCell ref="H82:H83"/>
    <mergeCell ref="I82:I83"/>
    <mergeCell ref="J82:J83"/>
    <mergeCell ref="H76:H77"/>
    <mergeCell ref="I76:I77"/>
    <mergeCell ref="J76:J77"/>
    <mergeCell ref="H78:H79"/>
    <mergeCell ref="I78:I79"/>
    <mergeCell ref="J78:J79"/>
    <mergeCell ref="H72:H73"/>
    <mergeCell ref="I72:I73"/>
    <mergeCell ref="J72:J73"/>
    <mergeCell ref="H74:H75"/>
    <mergeCell ref="I74:I75"/>
    <mergeCell ref="J74:J75"/>
    <mergeCell ref="H68:H69"/>
    <mergeCell ref="I68:I69"/>
    <mergeCell ref="D58:D59"/>
    <mergeCell ref="D60:D61"/>
    <mergeCell ref="D62:D63"/>
    <mergeCell ref="D82:D83"/>
    <mergeCell ref="D84:D85"/>
    <mergeCell ref="K82:K83"/>
    <mergeCell ref="G46:G47"/>
    <mergeCell ref="G48:G49"/>
    <mergeCell ref="E50:E51"/>
    <mergeCell ref="E52:E53"/>
    <mergeCell ref="G50:G51"/>
    <mergeCell ref="G52:G53"/>
    <mergeCell ref="F54:F55"/>
    <mergeCell ref="F56:F57"/>
    <mergeCell ref="G54:G55"/>
    <mergeCell ref="G56:G57"/>
    <mergeCell ref="G58:G59"/>
    <mergeCell ref="G60:G61"/>
    <mergeCell ref="G62:G63"/>
    <mergeCell ref="D72:D73"/>
    <mergeCell ref="D74:D75"/>
    <mergeCell ref="D76:D77"/>
    <mergeCell ref="D78:D79"/>
    <mergeCell ref="D80:D81"/>
    <mergeCell ref="I84:I85"/>
    <mergeCell ref="J84:J85"/>
    <mergeCell ref="F70:F71"/>
    <mergeCell ref="F72:F73"/>
    <mergeCell ref="F74:F75"/>
    <mergeCell ref="F76:F77"/>
    <mergeCell ref="F78:F79"/>
    <mergeCell ref="G64:G65"/>
    <mergeCell ref="G66:G67"/>
    <mergeCell ref="G68:G69"/>
    <mergeCell ref="G70:G71"/>
    <mergeCell ref="G72:G73"/>
    <mergeCell ref="J68:J69"/>
    <mergeCell ref="H70:H71"/>
    <mergeCell ref="I70:I71"/>
    <mergeCell ref="J70:J71"/>
    <mergeCell ref="H64:H65"/>
    <mergeCell ref="I64:I65"/>
    <mergeCell ref="J64:J65"/>
    <mergeCell ref="H66:H67"/>
    <mergeCell ref="I66:I67"/>
    <mergeCell ref="J66:J67"/>
    <mergeCell ref="H88:H89"/>
    <mergeCell ref="F88:F89"/>
    <mergeCell ref="F90:F91"/>
    <mergeCell ref="G88:G89"/>
    <mergeCell ref="G90:G91"/>
    <mergeCell ref="F80:F81"/>
    <mergeCell ref="G78:G79"/>
    <mergeCell ref="G80:G81"/>
    <mergeCell ref="F82:F83"/>
    <mergeCell ref="F84:F85"/>
    <mergeCell ref="G82:G83"/>
    <mergeCell ref="G84:G85"/>
    <mergeCell ref="H84:H85"/>
    <mergeCell ref="K88:K89"/>
    <mergeCell ref="K90:K91"/>
    <mergeCell ref="B98:B99"/>
    <mergeCell ref="B96:B97"/>
    <mergeCell ref="B94:B95"/>
    <mergeCell ref="B92:B93"/>
    <mergeCell ref="H92:H93"/>
    <mergeCell ref="I92:I93"/>
    <mergeCell ref="J92:J93"/>
    <mergeCell ref="H94:H95"/>
    <mergeCell ref="I94:I95"/>
    <mergeCell ref="J94:J95"/>
    <mergeCell ref="H96:H97"/>
    <mergeCell ref="I96:I97"/>
    <mergeCell ref="J96:J97"/>
    <mergeCell ref="H98:H99"/>
    <mergeCell ref="I88:I89"/>
    <mergeCell ref="J88:J89"/>
    <mergeCell ref="H90:H91"/>
    <mergeCell ref="I90:I91"/>
    <mergeCell ref="J90:J91"/>
    <mergeCell ref="B88:B89"/>
    <mergeCell ref="B90:B91"/>
    <mergeCell ref="D88:D89"/>
    <mergeCell ref="A98:A99"/>
    <mergeCell ref="G92:G93"/>
    <mergeCell ref="G94:G95"/>
    <mergeCell ref="D92:D93"/>
    <mergeCell ref="D94:D95"/>
    <mergeCell ref="D96:D97"/>
    <mergeCell ref="D98:D99"/>
    <mergeCell ref="A88:A89"/>
    <mergeCell ref="A90:A91"/>
    <mergeCell ref="A92:A93"/>
    <mergeCell ref="A94:A95"/>
    <mergeCell ref="A96:A97"/>
    <mergeCell ref="D90:D91"/>
    <mergeCell ref="K92:K93"/>
    <mergeCell ref="B116:B117"/>
    <mergeCell ref="B114:B115"/>
    <mergeCell ref="B112:B113"/>
    <mergeCell ref="B110:B111"/>
    <mergeCell ref="B108:B109"/>
    <mergeCell ref="B106:B107"/>
    <mergeCell ref="B104:B105"/>
    <mergeCell ref="B102:B103"/>
    <mergeCell ref="J104:J105"/>
    <mergeCell ref="H106:H107"/>
    <mergeCell ref="I106:I107"/>
    <mergeCell ref="J106:J107"/>
    <mergeCell ref="H108:H109"/>
    <mergeCell ref="I108:I109"/>
    <mergeCell ref="J108:J109"/>
    <mergeCell ref="I98:I99"/>
    <mergeCell ref="J98:J99"/>
    <mergeCell ref="K98:K99"/>
    <mergeCell ref="K96:K97"/>
    <mergeCell ref="K94:K95"/>
    <mergeCell ref="H116:H117"/>
    <mergeCell ref="I116:I117"/>
    <mergeCell ref="J116:J117"/>
    <mergeCell ref="A106:A107"/>
    <mergeCell ref="A104:A105"/>
    <mergeCell ref="A102:A103"/>
    <mergeCell ref="K116:K117"/>
    <mergeCell ref="K114:K115"/>
    <mergeCell ref="K112:K113"/>
    <mergeCell ref="K110:K111"/>
    <mergeCell ref="K108:K109"/>
    <mergeCell ref="K106:K107"/>
    <mergeCell ref="K104:K105"/>
    <mergeCell ref="K102:K103"/>
    <mergeCell ref="H102:H103"/>
    <mergeCell ref="I102:I103"/>
    <mergeCell ref="J102:J103"/>
    <mergeCell ref="H104:H105"/>
    <mergeCell ref="I104:I105"/>
    <mergeCell ref="A116:A117"/>
    <mergeCell ref="A114:A115"/>
    <mergeCell ref="A112:A113"/>
    <mergeCell ref="A110:A111"/>
    <mergeCell ref="A108:A109"/>
    <mergeCell ref="H114:H115"/>
    <mergeCell ref="I114:I115"/>
    <mergeCell ref="J114:J115"/>
    <mergeCell ref="H110:H111"/>
    <mergeCell ref="I110:I111"/>
    <mergeCell ref="J110:J111"/>
    <mergeCell ref="H112:H113"/>
    <mergeCell ref="I112:I113"/>
    <mergeCell ref="J112:J113"/>
    <mergeCell ref="C102:C103"/>
    <mergeCell ref="C104:C105"/>
    <mergeCell ref="C110:C111"/>
    <mergeCell ref="C112:C113"/>
    <mergeCell ref="D102:D103"/>
    <mergeCell ref="D104:D105"/>
    <mergeCell ref="D106:D107"/>
    <mergeCell ref="D108:D109"/>
    <mergeCell ref="D110:D111"/>
    <mergeCell ref="G102:G103"/>
    <mergeCell ref="G104:G105"/>
    <mergeCell ref="G106:G107"/>
    <mergeCell ref="G108:G109"/>
    <mergeCell ref="F106:F107"/>
    <mergeCell ref="F108:F109"/>
    <mergeCell ref="D112:D113"/>
    <mergeCell ref="G110:G111"/>
    <mergeCell ref="G112:G113"/>
    <mergeCell ref="D114:D115"/>
    <mergeCell ref="D116:D117"/>
    <mergeCell ref="B128:B129"/>
    <mergeCell ref="B130:B131"/>
    <mergeCell ref="B132:B133"/>
    <mergeCell ref="B134:B135"/>
    <mergeCell ref="A128:A129"/>
    <mergeCell ref="A130:A131"/>
    <mergeCell ref="A132:A133"/>
    <mergeCell ref="A134:A135"/>
    <mergeCell ref="D128:D129"/>
    <mergeCell ref="F114:F115"/>
    <mergeCell ref="F116:F117"/>
    <mergeCell ref="E114:E115"/>
    <mergeCell ref="E116:E117"/>
    <mergeCell ref="K128:K129"/>
    <mergeCell ref="K130:K131"/>
    <mergeCell ref="K132:K133"/>
    <mergeCell ref="K134:K135"/>
    <mergeCell ref="H128:H129"/>
    <mergeCell ref="I128:I129"/>
    <mergeCell ref="J128:J129"/>
    <mergeCell ref="H130:H131"/>
    <mergeCell ref="I130:I131"/>
    <mergeCell ref="J130:J131"/>
    <mergeCell ref="H132:H133"/>
    <mergeCell ref="I132:I133"/>
    <mergeCell ref="J132:J133"/>
    <mergeCell ref="H134:H135"/>
    <mergeCell ref="I134:I135"/>
    <mergeCell ref="J134:J135"/>
    <mergeCell ref="F128:F129"/>
    <mergeCell ref="F130:F131"/>
    <mergeCell ref="F132:F133"/>
    <mergeCell ref="F134:F135"/>
    <mergeCell ref="E128:E129"/>
    <mergeCell ref="D130:D131"/>
    <mergeCell ref="E130:E131"/>
    <mergeCell ref="D132:D133"/>
    <mergeCell ref="E132:E133"/>
    <mergeCell ref="G148:G149"/>
    <mergeCell ref="H146:H147"/>
    <mergeCell ref="B146:B147"/>
    <mergeCell ref="B148:B149"/>
    <mergeCell ref="G146:G147"/>
    <mergeCell ref="H142:H143"/>
    <mergeCell ref="A146:A147"/>
    <mergeCell ref="A148:A149"/>
    <mergeCell ref="D148:D149"/>
    <mergeCell ref="D134:D135"/>
    <mergeCell ref="E134:E135"/>
    <mergeCell ref="F157:F158"/>
    <mergeCell ref="F159:F160"/>
    <mergeCell ref="E157:E158"/>
    <mergeCell ref="E159:E160"/>
    <mergeCell ref="D157:D158"/>
    <mergeCell ref="D159:D160"/>
    <mergeCell ref="F146:F147"/>
    <mergeCell ref="F148:F149"/>
    <mergeCell ref="A138:A139"/>
    <mergeCell ref="A140:A141"/>
    <mergeCell ref="E144:E145"/>
    <mergeCell ref="B152:B153"/>
    <mergeCell ref="A152:A153"/>
    <mergeCell ref="B155:B156"/>
    <mergeCell ref="A155:A156"/>
    <mergeCell ref="K146:K147"/>
    <mergeCell ref="K148:K149"/>
    <mergeCell ref="K157:K158"/>
    <mergeCell ref="K159:K160"/>
    <mergeCell ref="H157:H158"/>
    <mergeCell ref="I157:I158"/>
    <mergeCell ref="J157:J158"/>
    <mergeCell ref="H159:H160"/>
    <mergeCell ref="I159:I160"/>
    <mergeCell ref="J159:J160"/>
    <mergeCell ref="I146:I147"/>
    <mergeCell ref="J146:J147"/>
    <mergeCell ref="H148:H149"/>
    <mergeCell ref="I148:I149"/>
    <mergeCell ref="J148:J149"/>
    <mergeCell ref="A167:A168"/>
    <mergeCell ref="A169:A170"/>
    <mergeCell ref="E165:E166"/>
    <mergeCell ref="E167:E168"/>
    <mergeCell ref="D167:D168"/>
    <mergeCell ref="E169:E170"/>
    <mergeCell ref="B157:B158"/>
    <mergeCell ref="B159:B160"/>
    <mergeCell ref="A157:A158"/>
    <mergeCell ref="A159:A160"/>
    <mergeCell ref="B165:B166"/>
    <mergeCell ref="A165:A166"/>
    <mergeCell ref="H169:H170"/>
    <mergeCell ref="I169:I170"/>
    <mergeCell ref="J169:J170"/>
    <mergeCell ref="K169:K170"/>
    <mergeCell ref="B172:B173"/>
    <mergeCell ref="F172:F173"/>
    <mergeCell ref="J172:J173"/>
    <mergeCell ref="K172:K173"/>
    <mergeCell ref="H165:H166"/>
    <mergeCell ref="J165:J166"/>
    <mergeCell ref="K165:K166"/>
    <mergeCell ref="F167:F168"/>
    <mergeCell ref="H167:H168"/>
    <mergeCell ref="J167:J168"/>
    <mergeCell ref="K167:K168"/>
    <mergeCell ref="B167:B168"/>
    <mergeCell ref="B169:B170"/>
    <mergeCell ref="F231:F232"/>
    <mergeCell ref="B231:B232"/>
    <mergeCell ref="A231:A232"/>
    <mergeCell ref="A235:B236"/>
    <mergeCell ref="A237:B238"/>
    <mergeCell ref="D235:D236"/>
    <mergeCell ref="J174:J175"/>
    <mergeCell ref="K174:K175"/>
    <mergeCell ref="H172:H173"/>
    <mergeCell ref="H231:H232"/>
    <mergeCell ref="J231:J232"/>
    <mergeCell ref="K231:K232"/>
    <mergeCell ref="F174:F175"/>
    <mergeCell ref="G174:G175"/>
    <mergeCell ref="H174:H175"/>
    <mergeCell ref="I174:I175"/>
    <mergeCell ref="I172:I173"/>
    <mergeCell ref="B174:B175"/>
    <mergeCell ref="A172:A173"/>
    <mergeCell ref="A174:A175"/>
    <mergeCell ref="D172:D173"/>
    <mergeCell ref="E172:E173"/>
    <mergeCell ref="E174:E175"/>
    <mergeCell ref="I237:I238"/>
    <mergeCell ref="I242:I243"/>
    <mergeCell ref="H240:H241"/>
    <mergeCell ref="I240:I241"/>
    <mergeCell ref="J240:J241"/>
    <mergeCell ref="K240:K241"/>
    <mergeCell ref="J242:J243"/>
    <mergeCell ref="K242:K243"/>
    <mergeCell ref="B138:B139"/>
    <mergeCell ref="B140:B141"/>
    <mergeCell ref="E138:E139"/>
    <mergeCell ref="E140:E141"/>
    <mergeCell ref="F138:F139"/>
    <mergeCell ref="F140:F141"/>
    <mergeCell ref="G138:G139"/>
    <mergeCell ref="G140:G141"/>
    <mergeCell ref="H138:H139"/>
    <mergeCell ref="I138:I139"/>
    <mergeCell ref="J138:J139"/>
    <mergeCell ref="H140:H141"/>
    <mergeCell ref="I140:I141"/>
    <mergeCell ref="J140:J141"/>
    <mergeCell ref="K138:K139"/>
    <mergeCell ref="K140:K141"/>
    <mergeCell ref="E142:E143"/>
    <mergeCell ref="K142:K143"/>
    <mergeCell ref="K144:K145"/>
    <mergeCell ref="B142:B143"/>
    <mergeCell ref="B144:B145"/>
    <mergeCell ref="A142:A143"/>
    <mergeCell ref="A144:A145"/>
    <mergeCell ref="B150:B151"/>
    <mergeCell ref="A150:A151"/>
    <mergeCell ref="E150:E151"/>
    <mergeCell ref="F150:F151"/>
    <mergeCell ref="G150:G151"/>
    <mergeCell ref="H150:H151"/>
    <mergeCell ref="I150:I151"/>
    <mergeCell ref="J150:J151"/>
    <mergeCell ref="K150:K151"/>
    <mergeCell ref="I142:I143"/>
    <mergeCell ref="J142:J143"/>
    <mergeCell ref="H144:H145"/>
    <mergeCell ref="I144:I145"/>
    <mergeCell ref="J144:J145"/>
    <mergeCell ref="F142:F143"/>
    <mergeCell ref="F144:F145"/>
    <mergeCell ref="G142:G143"/>
    <mergeCell ref="G144:G145"/>
  </mergeCells>
  <phoneticPr fontId="4" type="noConversion"/>
  <pageMargins left="0.70866141732283472" right="0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2</vt:i4>
      </vt:variant>
    </vt:vector>
  </HeadingPairs>
  <TitlesOfParts>
    <vt:vector size="4" baseType="lpstr">
      <vt:lpstr>1 priedas</vt:lpstr>
      <vt:lpstr>3 priedas</vt:lpstr>
      <vt:lpstr>'3 priedas'!Print_Area</vt:lpstr>
      <vt:lpstr>'3 priedas'!Print_Titles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 Vytienė</dc:creator>
  <cp:lastModifiedBy>Jolanta Sakavičienė</cp:lastModifiedBy>
  <cp:lastPrinted>2026-10-16T06:42:38Z</cp:lastPrinted>
  <dcterms:created xsi:type="dcterms:W3CDTF">2015-06-05T18:19:34Z</dcterms:created>
  <dcterms:modified xsi:type="dcterms:W3CDTF">2026-10-16T10:35:27Z</dcterms:modified>
</cp:coreProperties>
</file>