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sakaviciene\Desktop\seni dokumentai\2026 m sprendimai\2026-10-30 Tarybos posėdis\Biudžetas\Patvirtintas biudzetas\"/>
    </mc:Choice>
  </mc:AlternateContent>
  <xr:revisionPtr revIDLastSave="0" documentId="13_ncr:1_{42A4C753-E3F1-434D-92F8-FD101672F1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priedas" sheetId="2" r:id="rId1"/>
    <sheet name="3 priedas" sheetId="1" r:id="rId2"/>
  </sheets>
  <definedNames>
    <definedName name="_xlnm.Print_Area" localSheetId="1">'3 priedas'!$A$1:$K$170</definedName>
    <definedName name="_xlnm.Print_Titles" localSheetId="1">'3 priedas'!$11:$11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2" l="1"/>
  <c r="D102" i="1"/>
  <c r="D93" i="1"/>
  <c r="D90" i="1"/>
  <c r="D87" i="1"/>
  <c r="D85" i="1"/>
  <c r="I101" i="1"/>
  <c r="C45" i="2"/>
  <c r="C44" i="2"/>
  <c r="G102" i="1"/>
  <c r="F102" i="1"/>
  <c r="F65" i="1"/>
  <c r="F61" i="1"/>
  <c r="F57" i="1"/>
  <c r="F55" i="1"/>
  <c r="F41" i="1"/>
  <c r="F39" i="1"/>
  <c r="F37" i="1"/>
  <c r="F33" i="1"/>
  <c r="F31" i="1"/>
  <c r="D105" i="1"/>
  <c r="G104" i="1"/>
  <c r="G95" i="1"/>
  <c r="G101" i="1"/>
  <c r="G79" i="1"/>
  <c r="G67" i="1"/>
  <c r="G57" i="1"/>
  <c r="G45" i="1"/>
  <c r="G25" i="1"/>
  <c r="G23" i="1"/>
  <c r="G17" i="1"/>
  <c r="G15" i="1"/>
  <c r="G13" i="1"/>
  <c r="C41" i="2"/>
  <c r="E89" i="1"/>
  <c r="E65" i="1"/>
  <c r="E63" i="1"/>
  <c r="E61" i="1"/>
  <c r="E57" i="1"/>
  <c r="E55" i="1"/>
  <c r="E53" i="1"/>
  <c r="E49" i="1"/>
  <c r="E47" i="1"/>
  <c r="E45" i="1"/>
  <c r="E43" i="1"/>
  <c r="E41" i="1"/>
  <c r="E39" i="1"/>
  <c r="E37" i="1"/>
  <c r="E35" i="1"/>
  <c r="E31" i="1"/>
  <c r="E29" i="1"/>
  <c r="E25" i="1"/>
  <c r="E23" i="1"/>
  <c r="E21" i="1"/>
  <c r="E19" i="1"/>
  <c r="E17" i="1"/>
  <c r="E15" i="1"/>
  <c r="E13" i="1"/>
  <c r="F103" i="1"/>
  <c r="H104" i="1"/>
  <c r="H103" i="1"/>
  <c r="H102" i="1"/>
  <c r="G103" i="1"/>
  <c r="H101" i="1"/>
  <c r="I102" i="1"/>
  <c r="G51" i="1"/>
  <c r="G33" i="1"/>
  <c r="E33" i="1"/>
  <c r="E27" i="1"/>
  <c r="G55" i="1"/>
  <c r="G43" i="1"/>
  <c r="G35" i="1"/>
  <c r="G29" i="1"/>
  <c r="G21" i="1"/>
  <c r="G92" i="1"/>
  <c r="G39" i="1"/>
  <c r="E92" i="1"/>
  <c r="E51" i="1"/>
  <c r="K92" i="1"/>
  <c r="K51" i="1"/>
  <c r="K45" i="1"/>
  <c r="K39" i="1"/>
  <c r="K33" i="1"/>
  <c r="K27" i="1"/>
  <c r="K81" i="1"/>
  <c r="K67" i="1"/>
  <c r="K71" i="1"/>
  <c r="K47" i="1"/>
  <c r="F104" i="1"/>
  <c r="F93" i="1"/>
  <c r="F101" i="1"/>
  <c r="F92" i="1"/>
  <c r="F51" i="1"/>
  <c r="F45" i="1"/>
  <c r="F27" i="1"/>
  <c r="C28" i="2"/>
  <c r="C29" i="2"/>
  <c r="C27" i="2"/>
  <c r="C25" i="2"/>
  <c r="C19" i="2"/>
  <c r="K53" i="1"/>
  <c r="D95" i="1"/>
  <c r="C22" i="2"/>
  <c r="D129" i="1"/>
  <c r="D104" i="1"/>
  <c r="D83" i="1"/>
  <c r="D165" i="1" s="1"/>
  <c r="G41" i="1"/>
  <c r="G31" i="1"/>
  <c r="G63" i="1"/>
  <c r="C102" i="1" l="1"/>
  <c r="K52" i="1"/>
  <c r="F148" i="1"/>
  <c r="F128" i="1"/>
  <c r="F112" i="1"/>
  <c r="F108" i="1"/>
  <c r="F77" i="1"/>
  <c r="F89" i="1"/>
  <c r="F59" i="1"/>
  <c r="F53" i="1"/>
  <c r="F49" i="1"/>
  <c r="F47" i="1"/>
  <c r="F43" i="1"/>
  <c r="F35" i="1"/>
  <c r="F25" i="1"/>
  <c r="F23" i="1"/>
  <c r="F21" i="1"/>
  <c r="F19" i="1"/>
  <c r="F17" i="1"/>
  <c r="F15" i="1"/>
  <c r="F13" i="1"/>
  <c r="F97" i="1" l="1"/>
  <c r="F105" i="1"/>
  <c r="F133" i="1" l="1"/>
  <c r="F143" i="1"/>
  <c r="G90" i="1"/>
  <c r="G87" i="1"/>
  <c r="G85" i="1"/>
  <c r="C47" i="2" l="1"/>
  <c r="C42" i="2"/>
  <c r="C35" i="2"/>
  <c r="C30" i="2"/>
  <c r="C26" i="2"/>
  <c r="C21" i="2"/>
  <c r="C18" i="2"/>
  <c r="C14" i="2"/>
  <c r="C11" i="2"/>
  <c r="K54" i="1"/>
  <c r="K155" i="1"/>
  <c r="K109" i="1"/>
  <c r="C10" i="2" l="1"/>
  <c r="C20" i="2"/>
  <c r="C39" i="2"/>
  <c r="C38" i="2" s="1"/>
  <c r="E36" i="1"/>
  <c r="C37" i="2" l="1"/>
  <c r="C46" i="2" l="1"/>
  <c r="C49" i="2" s="1"/>
  <c r="C97" i="1"/>
  <c r="C96" i="1" s="1"/>
  <c r="C85" i="1"/>
  <c r="C81" i="1"/>
  <c r="I164" i="1"/>
  <c r="I96" i="1"/>
  <c r="I84" i="1"/>
  <c r="I80" i="1"/>
  <c r="I12" i="1"/>
  <c r="K168" i="1" l="1"/>
  <c r="C160" i="1" l="1"/>
  <c r="C159" i="1"/>
  <c r="C158" i="1"/>
  <c r="C157" i="1"/>
  <c r="K156" i="1"/>
  <c r="J156" i="1"/>
  <c r="I156" i="1"/>
  <c r="H156" i="1"/>
  <c r="G156" i="1"/>
  <c r="F156" i="1"/>
  <c r="E156" i="1"/>
  <c r="D156" i="1"/>
  <c r="C155" i="1"/>
  <c r="C154" i="1"/>
  <c r="C153" i="1"/>
  <c r="C152" i="1"/>
  <c r="K151" i="1"/>
  <c r="J151" i="1"/>
  <c r="I151" i="1"/>
  <c r="H151" i="1"/>
  <c r="G151" i="1"/>
  <c r="F151" i="1"/>
  <c r="E151" i="1"/>
  <c r="D151" i="1"/>
  <c r="C150" i="1"/>
  <c r="C149" i="1"/>
  <c r="C148" i="1"/>
  <c r="C147" i="1"/>
  <c r="K146" i="1"/>
  <c r="J146" i="1"/>
  <c r="I146" i="1"/>
  <c r="H146" i="1"/>
  <c r="G146" i="1"/>
  <c r="F146" i="1"/>
  <c r="E146" i="1"/>
  <c r="D146" i="1"/>
  <c r="C145" i="1"/>
  <c r="C144" i="1"/>
  <c r="C143" i="1"/>
  <c r="C142" i="1"/>
  <c r="K141" i="1"/>
  <c r="J141" i="1"/>
  <c r="I141" i="1"/>
  <c r="H141" i="1"/>
  <c r="G141" i="1"/>
  <c r="F141" i="1"/>
  <c r="E141" i="1"/>
  <c r="D141" i="1"/>
  <c r="C140" i="1"/>
  <c r="C139" i="1"/>
  <c r="C138" i="1"/>
  <c r="C137" i="1"/>
  <c r="K136" i="1"/>
  <c r="J136" i="1"/>
  <c r="I136" i="1"/>
  <c r="H136" i="1"/>
  <c r="G136" i="1"/>
  <c r="F136" i="1"/>
  <c r="E136" i="1"/>
  <c r="D136" i="1"/>
  <c r="C135" i="1"/>
  <c r="C134" i="1"/>
  <c r="C133" i="1"/>
  <c r="C132" i="1"/>
  <c r="K131" i="1"/>
  <c r="J131" i="1"/>
  <c r="I131" i="1"/>
  <c r="H131" i="1"/>
  <c r="G131" i="1"/>
  <c r="F131" i="1"/>
  <c r="E131" i="1"/>
  <c r="D131" i="1"/>
  <c r="C130" i="1"/>
  <c r="C129" i="1"/>
  <c r="C128" i="1"/>
  <c r="C127" i="1"/>
  <c r="C126" i="1"/>
  <c r="K125" i="1"/>
  <c r="J125" i="1"/>
  <c r="I125" i="1"/>
  <c r="H125" i="1"/>
  <c r="G125" i="1"/>
  <c r="F125" i="1"/>
  <c r="E125" i="1"/>
  <c r="D125" i="1"/>
  <c r="C124" i="1"/>
  <c r="C123" i="1"/>
  <c r="C122" i="1"/>
  <c r="C121" i="1"/>
  <c r="K120" i="1"/>
  <c r="J120" i="1"/>
  <c r="I120" i="1"/>
  <c r="H120" i="1"/>
  <c r="G120" i="1"/>
  <c r="F120" i="1"/>
  <c r="E120" i="1"/>
  <c r="D120" i="1"/>
  <c r="C119" i="1"/>
  <c r="C118" i="1"/>
  <c r="C117" i="1"/>
  <c r="C116" i="1"/>
  <c r="K115" i="1"/>
  <c r="J115" i="1"/>
  <c r="I115" i="1"/>
  <c r="H115" i="1"/>
  <c r="G115" i="1"/>
  <c r="F115" i="1"/>
  <c r="E115" i="1"/>
  <c r="D115" i="1"/>
  <c r="C114" i="1"/>
  <c r="C113" i="1"/>
  <c r="C112" i="1"/>
  <c r="C111" i="1"/>
  <c r="K110" i="1"/>
  <c r="J110" i="1"/>
  <c r="I110" i="1"/>
  <c r="H110" i="1"/>
  <c r="G110" i="1"/>
  <c r="F110" i="1"/>
  <c r="E110" i="1"/>
  <c r="D110" i="1"/>
  <c r="C109" i="1"/>
  <c r="C108" i="1"/>
  <c r="C107" i="1"/>
  <c r="K106" i="1"/>
  <c r="J106" i="1"/>
  <c r="I106" i="1"/>
  <c r="H106" i="1"/>
  <c r="G106" i="1"/>
  <c r="F106" i="1"/>
  <c r="E106" i="1"/>
  <c r="D106" i="1"/>
  <c r="C105" i="1"/>
  <c r="C104" i="1"/>
  <c r="C103" i="1"/>
  <c r="H100" i="1"/>
  <c r="F100" i="1"/>
  <c r="C101" i="1"/>
  <c r="C100" i="1" s="1"/>
  <c r="K100" i="1"/>
  <c r="J100" i="1"/>
  <c r="I100" i="1"/>
  <c r="E100" i="1"/>
  <c r="C99" i="1"/>
  <c r="C98" i="1" s="1"/>
  <c r="K98" i="1"/>
  <c r="J98" i="1"/>
  <c r="H98" i="1"/>
  <c r="G98" i="1"/>
  <c r="F98" i="1"/>
  <c r="E98" i="1"/>
  <c r="D98" i="1"/>
  <c r="K96" i="1"/>
  <c r="J96" i="1"/>
  <c r="H96" i="1"/>
  <c r="G96" i="1"/>
  <c r="F96" i="1"/>
  <c r="E96" i="1"/>
  <c r="D96" i="1"/>
  <c r="C95" i="1"/>
  <c r="C94" i="1" s="1"/>
  <c r="K94" i="1"/>
  <c r="J94" i="1"/>
  <c r="H94" i="1"/>
  <c r="G94" i="1"/>
  <c r="F94" i="1"/>
  <c r="E94" i="1"/>
  <c r="D94" i="1"/>
  <c r="C93" i="1"/>
  <c r="C92" i="1"/>
  <c r="K91" i="1"/>
  <c r="J91" i="1"/>
  <c r="H91" i="1"/>
  <c r="G91" i="1"/>
  <c r="F91" i="1"/>
  <c r="E91" i="1"/>
  <c r="D91" i="1"/>
  <c r="C90" i="1"/>
  <c r="C89" i="1"/>
  <c r="K88" i="1"/>
  <c r="J88" i="1"/>
  <c r="H88" i="1"/>
  <c r="G88" i="1"/>
  <c r="F88" i="1"/>
  <c r="E88" i="1"/>
  <c r="D88" i="1"/>
  <c r="C87" i="1"/>
  <c r="C86" i="1" s="1"/>
  <c r="K86" i="1"/>
  <c r="J86" i="1"/>
  <c r="H86" i="1"/>
  <c r="G86" i="1"/>
  <c r="F86" i="1"/>
  <c r="E86" i="1"/>
  <c r="D86" i="1"/>
  <c r="C84" i="1"/>
  <c r="K84" i="1"/>
  <c r="J84" i="1"/>
  <c r="H84" i="1"/>
  <c r="G84" i="1"/>
  <c r="F84" i="1"/>
  <c r="E84" i="1"/>
  <c r="D84" i="1"/>
  <c r="C83" i="1"/>
  <c r="C82" i="1" s="1"/>
  <c r="K82" i="1"/>
  <c r="J82" i="1"/>
  <c r="H82" i="1"/>
  <c r="G82" i="1"/>
  <c r="F82" i="1"/>
  <c r="E82" i="1"/>
  <c r="D82" i="1"/>
  <c r="C80" i="1"/>
  <c r="K80" i="1"/>
  <c r="J80" i="1"/>
  <c r="H80" i="1"/>
  <c r="G80" i="1"/>
  <c r="F80" i="1"/>
  <c r="E80" i="1"/>
  <c r="D80" i="1"/>
  <c r="C79" i="1"/>
  <c r="C78" i="1" s="1"/>
  <c r="K78" i="1"/>
  <c r="J78" i="1"/>
  <c r="H78" i="1"/>
  <c r="G78" i="1"/>
  <c r="F78" i="1"/>
  <c r="E78" i="1"/>
  <c r="D78" i="1"/>
  <c r="C77" i="1"/>
  <c r="C76" i="1" s="1"/>
  <c r="K76" i="1"/>
  <c r="J76" i="1"/>
  <c r="H76" i="1"/>
  <c r="G76" i="1"/>
  <c r="F76" i="1"/>
  <c r="E76" i="1"/>
  <c r="D76" i="1"/>
  <c r="C75" i="1"/>
  <c r="C74" i="1" s="1"/>
  <c r="K74" i="1"/>
  <c r="J74" i="1"/>
  <c r="H74" i="1"/>
  <c r="G74" i="1"/>
  <c r="F74" i="1"/>
  <c r="E74" i="1"/>
  <c r="D74" i="1"/>
  <c r="C73" i="1"/>
  <c r="C72" i="1" s="1"/>
  <c r="K72" i="1"/>
  <c r="J72" i="1"/>
  <c r="H72" i="1"/>
  <c r="G72" i="1"/>
  <c r="F72" i="1"/>
  <c r="E72" i="1"/>
  <c r="D72" i="1"/>
  <c r="C71" i="1"/>
  <c r="C70" i="1" s="1"/>
  <c r="K70" i="1"/>
  <c r="J70" i="1"/>
  <c r="H70" i="1"/>
  <c r="G70" i="1"/>
  <c r="F70" i="1"/>
  <c r="E70" i="1"/>
  <c r="D70" i="1"/>
  <c r="C69" i="1"/>
  <c r="C68" i="1" s="1"/>
  <c r="J68" i="1"/>
  <c r="H68" i="1"/>
  <c r="G68" i="1"/>
  <c r="F68" i="1"/>
  <c r="E68" i="1"/>
  <c r="D68" i="1"/>
  <c r="C67" i="1"/>
  <c r="C66" i="1" s="1"/>
  <c r="K66" i="1"/>
  <c r="J66" i="1"/>
  <c r="H66" i="1"/>
  <c r="G66" i="1"/>
  <c r="F66" i="1"/>
  <c r="E66" i="1"/>
  <c r="D66" i="1"/>
  <c r="C65" i="1"/>
  <c r="C64" i="1" s="1"/>
  <c r="K64" i="1"/>
  <c r="J64" i="1"/>
  <c r="H64" i="1"/>
  <c r="G64" i="1"/>
  <c r="F64" i="1"/>
  <c r="E64" i="1"/>
  <c r="D64" i="1"/>
  <c r="C63" i="1"/>
  <c r="C62" i="1" s="1"/>
  <c r="K62" i="1"/>
  <c r="J62" i="1"/>
  <c r="H62" i="1"/>
  <c r="G62" i="1"/>
  <c r="F62" i="1"/>
  <c r="E62" i="1"/>
  <c r="D62" i="1"/>
  <c r="C61" i="1"/>
  <c r="C60" i="1" s="1"/>
  <c r="K60" i="1"/>
  <c r="J60" i="1"/>
  <c r="H60" i="1"/>
  <c r="G60" i="1"/>
  <c r="F60" i="1"/>
  <c r="E60" i="1"/>
  <c r="D60" i="1"/>
  <c r="C59" i="1"/>
  <c r="C58" i="1" s="1"/>
  <c r="K58" i="1"/>
  <c r="J58" i="1"/>
  <c r="H58" i="1"/>
  <c r="G58" i="1"/>
  <c r="F58" i="1"/>
  <c r="E58" i="1"/>
  <c r="D58" i="1"/>
  <c r="C57" i="1"/>
  <c r="C56" i="1" s="1"/>
  <c r="K56" i="1"/>
  <c r="J56" i="1"/>
  <c r="H56" i="1"/>
  <c r="G56" i="1"/>
  <c r="F56" i="1"/>
  <c r="E56" i="1"/>
  <c r="D56" i="1"/>
  <c r="C55" i="1"/>
  <c r="C54" i="1" s="1"/>
  <c r="J54" i="1"/>
  <c r="H54" i="1"/>
  <c r="G54" i="1"/>
  <c r="F54" i="1"/>
  <c r="E54" i="1"/>
  <c r="D54" i="1"/>
  <c r="C53" i="1"/>
  <c r="C52" i="1" s="1"/>
  <c r="J52" i="1"/>
  <c r="H52" i="1"/>
  <c r="G52" i="1"/>
  <c r="F52" i="1"/>
  <c r="E52" i="1"/>
  <c r="D52" i="1"/>
  <c r="C51" i="1"/>
  <c r="C50" i="1" s="1"/>
  <c r="K50" i="1"/>
  <c r="J50" i="1"/>
  <c r="H50" i="1"/>
  <c r="G50" i="1"/>
  <c r="F50" i="1"/>
  <c r="E50" i="1"/>
  <c r="D50" i="1"/>
  <c r="C49" i="1"/>
  <c r="C48" i="1" s="1"/>
  <c r="K48" i="1"/>
  <c r="J48" i="1"/>
  <c r="H48" i="1"/>
  <c r="G48" i="1"/>
  <c r="F48" i="1"/>
  <c r="E48" i="1"/>
  <c r="D48" i="1"/>
  <c r="C47" i="1"/>
  <c r="C46" i="1" s="1"/>
  <c r="K46" i="1"/>
  <c r="J46" i="1"/>
  <c r="H46" i="1"/>
  <c r="G46" i="1"/>
  <c r="F46" i="1"/>
  <c r="E46" i="1"/>
  <c r="D46" i="1"/>
  <c r="C45" i="1"/>
  <c r="C44" i="1" s="1"/>
  <c r="K44" i="1"/>
  <c r="J44" i="1"/>
  <c r="H44" i="1"/>
  <c r="G44" i="1"/>
  <c r="F44" i="1"/>
  <c r="E44" i="1"/>
  <c r="D44" i="1"/>
  <c r="C43" i="1"/>
  <c r="C42" i="1" s="1"/>
  <c r="K42" i="1"/>
  <c r="J42" i="1"/>
  <c r="H42" i="1"/>
  <c r="G42" i="1"/>
  <c r="F42" i="1"/>
  <c r="E42" i="1"/>
  <c r="D42" i="1"/>
  <c r="C41" i="1"/>
  <c r="C40" i="1" s="1"/>
  <c r="K40" i="1"/>
  <c r="J40" i="1"/>
  <c r="H40" i="1"/>
  <c r="G40" i="1"/>
  <c r="F40" i="1"/>
  <c r="E40" i="1"/>
  <c r="D40" i="1"/>
  <c r="C39" i="1"/>
  <c r="C38" i="1" s="1"/>
  <c r="K38" i="1"/>
  <c r="J38" i="1"/>
  <c r="H38" i="1"/>
  <c r="G38" i="1"/>
  <c r="F38" i="1"/>
  <c r="E38" i="1"/>
  <c r="D38" i="1"/>
  <c r="C37" i="1"/>
  <c r="C36" i="1" s="1"/>
  <c r="K36" i="1"/>
  <c r="J36" i="1"/>
  <c r="H36" i="1"/>
  <c r="G36" i="1"/>
  <c r="F36" i="1"/>
  <c r="D36" i="1"/>
  <c r="C35" i="1"/>
  <c r="C34" i="1" s="1"/>
  <c r="K34" i="1"/>
  <c r="J34" i="1"/>
  <c r="H34" i="1"/>
  <c r="G34" i="1"/>
  <c r="F34" i="1"/>
  <c r="E34" i="1"/>
  <c r="D34" i="1"/>
  <c r="C33" i="1"/>
  <c r="C32" i="1" s="1"/>
  <c r="K32" i="1"/>
  <c r="J32" i="1"/>
  <c r="H32" i="1"/>
  <c r="G32" i="1"/>
  <c r="F32" i="1"/>
  <c r="E32" i="1"/>
  <c r="D32" i="1"/>
  <c r="C31" i="1"/>
  <c r="C30" i="1" s="1"/>
  <c r="K30" i="1"/>
  <c r="J30" i="1"/>
  <c r="H30" i="1"/>
  <c r="G30" i="1"/>
  <c r="F30" i="1"/>
  <c r="E30" i="1"/>
  <c r="D30" i="1"/>
  <c r="C29" i="1"/>
  <c r="C28" i="1" s="1"/>
  <c r="K28" i="1"/>
  <c r="J28" i="1"/>
  <c r="H28" i="1"/>
  <c r="G28" i="1"/>
  <c r="F28" i="1"/>
  <c r="E28" i="1"/>
  <c r="D28" i="1"/>
  <c r="G26" i="1"/>
  <c r="K26" i="1"/>
  <c r="J26" i="1"/>
  <c r="H26" i="1"/>
  <c r="F26" i="1"/>
  <c r="E26" i="1"/>
  <c r="D26" i="1"/>
  <c r="C25" i="1"/>
  <c r="C24" i="1" s="1"/>
  <c r="K24" i="1"/>
  <c r="J24" i="1"/>
  <c r="H24" i="1"/>
  <c r="G24" i="1"/>
  <c r="F24" i="1"/>
  <c r="E24" i="1"/>
  <c r="D24" i="1"/>
  <c r="C23" i="1"/>
  <c r="C22" i="1" s="1"/>
  <c r="K22" i="1"/>
  <c r="J22" i="1"/>
  <c r="H22" i="1"/>
  <c r="F22" i="1"/>
  <c r="E22" i="1"/>
  <c r="D22" i="1"/>
  <c r="C21" i="1"/>
  <c r="C20" i="1" s="1"/>
  <c r="K20" i="1"/>
  <c r="J20" i="1"/>
  <c r="H20" i="1"/>
  <c r="G20" i="1"/>
  <c r="F20" i="1"/>
  <c r="E20" i="1"/>
  <c r="D20" i="1"/>
  <c r="C19" i="1"/>
  <c r="C18" i="1" s="1"/>
  <c r="K18" i="1"/>
  <c r="J18" i="1"/>
  <c r="H18" i="1"/>
  <c r="G18" i="1"/>
  <c r="F18" i="1"/>
  <c r="E18" i="1"/>
  <c r="D18" i="1"/>
  <c r="C17" i="1"/>
  <c r="C16" i="1" s="1"/>
  <c r="K16" i="1"/>
  <c r="J16" i="1"/>
  <c r="H16" i="1"/>
  <c r="G16" i="1"/>
  <c r="F16" i="1"/>
  <c r="E16" i="1"/>
  <c r="D16" i="1"/>
  <c r="C15" i="1"/>
  <c r="C14" i="1" s="1"/>
  <c r="K14" i="1"/>
  <c r="J14" i="1"/>
  <c r="H14" i="1"/>
  <c r="G14" i="1"/>
  <c r="F14" i="1"/>
  <c r="E14" i="1"/>
  <c r="D14" i="1"/>
  <c r="C13" i="1"/>
  <c r="C12" i="1" s="1"/>
  <c r="K12" i="1"/>
  <c r="J12" i="1"/>
  <c r="H12" i="1"/>
  <c r="F12" i="1"/>
  <c r="E12" i="1"/>
  <c r="D12" i="1"/>
  <c r="C106" i="1" l="1"/>
  <c r="G12" i="1"/>
  <c r="C136" i="1"/>
  <c r="C115" i="1"/>
  <c r="C156" i="1"/>
  <c r="C91" i="1"/>
  <c r="C141" i="1"/>
  <c r="C151" i="1"/>
  <c r="C131" i="1"/>
  <c r="D100" i="1"/>
  <c r="C146" i="1"/>
  <c r="C125" i="1"/>
  <c r="G100" i="1"/>
  <c r="C88" i="1"/>
  <c r="C110" i="1"/>
  <c r="C120" i="1"/>
  <c r="G22" i="1"/>
  <c r="C27" i="1"/>
  <c r="C26" i="1" s="1"/>
  <c r="K68" i="1"/>
  <c r="C161" i="1" l="1"/>
  <c r="G165" i="1"/>
  <c r="K165" i="1"/>
  <c r="C165" i="1"/>
  <c r="E165" i="1" l="1"/>
  <c r="F165" i="1"/>
  <c r="H165" i="1"/>
  <c r="I165" i="1"/>
  <c r="J165" i="1"/>
  <c r="E168" i="1"/>
  <c r="F168" i="1"/>
  <c r="G168" i="1"/>
  <c r="H168" i="1"/>
  <c r="I168" i="1"/>
  <c r="J168" i="1"/>
  <c r="D168" i="1"/>
  <c r="D167" i="1" l="1"/>
  <c r="E167" i="1"/>
  <c r="F167" i="1"/>
  <c r="G167" i="1"/>
  <c r="H167" i="1"/>
  <c r="I167" i="1"/>
  <c r="J167" i="1"/>
  <c r="K167" i="1"/>
  <c r="D166" i="1"/>
  <c r="E166" i="1"/>
  <c r="F166" i="1"/>
  <c r="G166" i="1"/>
  <c r="H166" i="1"/>
  <c r="I166" i="1"/>
  <c r="J166" i="1"/>
  <c r="K166" i="1"/>
  <c r="D164" i="1"/>
  <c r="E164" i="1"/>
  <c r="F164" i="1"/>
  <c r="G164" i="1"/>
  <c r="H164" i="1"/>
  <c r="J164" i="1"/>
  <c r="K164" i="1"/>
  <c r="C168" i="1" l="1"/>
  <c r="H161" i="1"/>
  <c r="C166" i="1"/>
  <c r="G161" i="1"/>
  <c r="F161" i="1"/>
  <c r="F169" i="1"/>
  <c r="I169" i="1"/>
  <c r="E161" i="1"/>
  <c r="K169" i="1"/>
  <c r="E169" i="1"/>
  <c r="K161" i="1"/>
  <c r="D161" i="1"/>
  <c r="J161" i="1"/>
  <c r="I161" i="1"/>
  <c r="J169" i="1"/>
  <c r="C167" i="1"/>
  <c r="H169" i="1"/>
  <c r="C164" i="1"/>
  <c r="C169" i="1" s="1"/>
  <c r="G169" i="1"/>
  <c r="D169" i="1"/>
</calcChain>
</file>

<file path=xl/sharedStrings.xml><?xml version="1.0" encoding="utf-8"?>
<sst xmlns="http://schemas.openxmlformats.org/spreadsheetml/2006/main" count="332" uniqueCount="233">
  <si>
    <t>Iš jų:</t>
  </si>
  <si>
    <t>Kėdainių lopšelis-darželis  „Aviliukas“</t>
  </si>
  <si>
    <t>Kėdainių lopšelis-darželis „Pasaka“</t>
  </si>
  <si>
    <t>Kėdainių lopšelis-darželis „Puriena“</t>
  </si>
  <si>
    <t>Kėdainių lopšelis-darželis „Vaikystė“</t>
  </si>
  <si>
    <t>Kėdainių lopšelis-darželis „Varpelis“</t>
  </si>
  <si>
    <t>Kėdainių lopšelis-darželis „Vyturėlis“</t>
  </si>
  <si>
    <t>Kėdainių lopšelis-darželis „Žilvitis“</t>
  </si>
  <si>
    <t>Kėdainių r. Vilainių mokykla-darželis „Obelėlė“</t>
  </si>
  <si>
    <t>Kėdainių „Atžalyno“ gimnazija</t>
  </si>
  <si>
    <t>Kėdainių šviesioji gimnazija</t>
  </si>
  <si>
    <t>Kėdainių r. Akademijos gimnazija</t>
  </si>
  <si>
    <t>Kėdainių r. Krakių Mikalojaus Katkaus gimnazija</t>
  </si>
  <si>
    <t>Kėdainių r. Šėtos gimnazija</t>
  </si>
  <si>
    <t>Lietuvos sporto universiteto Kėdainių „Aušros“ progimnazija</t>
  </si>
  <si>
    <t>Kėdainių „Ryto“ progimnazija</t>
  </si>
  <si>
    <t>Kėdainių Senamiesčio progimnazija</t>
  </si>
  <si>
    <t>Kėdainių r. Dotnuvos pagrindinė mokykla</t>
  </si>
  <si>
    <t>Kėdainių r. Labūnavos pagrindinė mokykla</t>
  </si>
  <si>
    <t>Kėdainių r. Surviliškio Vinco Svirskio pagrindinė mokykla</t>
  </si>
  <si>
    <t>Kėdainių suaugusiųjų ir jaunimo mokymo centras</t>
  </si>
  <si>
    <t>Kėdainių „Spindulio“ mokykla</t>
  </si>
  <si>
    <t>Kėdainių dailės mokykla</t>
  </si>
  <si>
    <t>Kėdainių kalbų mokykla</t>
  </si>
  <si>
    <t>Kėdainių muzikos  mokykla</t>
  </si>
  <si>
    <t>Kėdainių švietimo pagalbos tarnyba</t>
  </si>
  <si>
    <t>Kėdainių sporto centras</t>
  </si>
  <si>
    <t>Kėdainių kultūros centras</t>
  </si>
  <si>
    <t>Akademijos kultūros centras</t>
  </si>
  <si>
    <t>Josvainių kultūros centras</t>
  </si>
  <si>
    <t>Krakių kultūros centras</t>
  </si>
  <si>
    <t>Šėtos kultūros centras</t>
  </si>
  <si>
    <t>Truskavos kultūros centras</t>
  </si>
  <si>
    <t>Kėdainių rajono savivaldybės Mikalojaus Daukšos viešoji biblioteka</t>
  </si>
  <si>
    <t>Kėdainių krašto muziejus</t>
  </si>
  <si>
    <t>Kėdainių rajono savivaldybės priešgaisrinė tarnyba</t>
  </si>
  <si>
    <t>Kėdainių bendruomenės socialinis centras</t>
  </si>
  <si>
    <t>Dotnuvos slaugos namai</t>
  </si>
  <si>
    <t>Josvainių socialinis ir ugdymo centras</t>
  </si>
  <si>
    <t>Kėdainių pagalbos šeimai centras</t>
  </si>
  <si>
    <t>Kėdainių rajono savivaldybės visuomenės sveikatos biuras</t>
  </si>
  <si>
    <t xml:space="preserve">Kėdainių rajono savivaldybės administracija </t>
  </si>
  <si>
    <t>Kėdainių rajono savivaldybės administracijos Kėdainių miesto seniūnija</t>
  </si>
  <si>
    <t>Kėdainių rajono savivaldybės administracijos Dotnuvos seniūnija</t>
  </si>
  <si>
    <t>Kėdainių rajono savivaldybės administracijos Gudžiūnų seniūnija</t>
  </si>
  <si>
    <t>Kėdainių rajono savivaldybės administracijos Josvainių seniūnija</t>
  </si>
  <si>
    <t>Kėdainių rajono savivaldybės administracijos Krakių seniūnija</t>
  </si>
  <si>
    <t>Kėdainių rajono savivaldybės administracijos Pelėdnagių seniūnija</t>
  </si>
  <si>
    <t>Kėdainių rajono savivaldybės administracijos Pernaravos seniūnija</t>
  </si>
  <si>
    <t>Kėdainių rajono savivaldybės administracijos Surviliškio seniūnija</t>
  </si>
  <si>
    <t>Kėdainių rajono savivaldybės administracijos Šėtos seniūnija</t>
  </si>
  <si>
    <t>Kėdainių rajono savivaldybės administracijos Truskavos seniūnija</t>
  </si>
  <si>
    <t>Kėdainių rajono savivaldybės administracijos Vilainių seniūnija</t>
  </si>
  <si>
    <t>Kėdainių rajono savivaldybės kontrolės ir audito tarnyba</t>
  </si>
  <si>
    <t>Aisgnavimų valdytojas, programa</t>
  </si>
  <si>
    <t>01 Aktyvios visuomenės ugdymas</t>
  </si>
  <si>
    <t>02 Socialinės gerovės užtikrinimas</t>
  </si>
  <si>
    <t>03 Darnios aplinkos ir infrastruktūros plėtra</t>
  </si>
  <si>
    <t>04 Ekonomikos plėtra</t>
  </si>
  <si>
    <t>05 Savivaldybės valdymo tobulinimas</t>
  </si>
  <si>
    <t>savivaldybės biudžeto (SB)</t>
  </si>
  <si>
    <t>valstybės biudžeto (VB)</t>
  </si>
  <si>
    <t>Europos Sąjungos  (ES)</t>
  </si>
  <si>
    <t>kitos tarptautinės finansinės paramos ir bendrojo finansavimo lėšos (VB)</t>
  </si>
  <si>
    <t>skolintos lėšos (SL)</t>
  </si>
  <si>
    <t>biudžetinių įstaigų pajamos už prekes ir paslaugas (S)</t>
  </si>
  <si>
    <t>Valstybinėms (valstybės perduotoms savivaldybėms) funkcijoms atlikti  (SBVB)</t>
  </si>
  <si>
    <t>Ugdymo reikmėms finansuoti (ML)</t>
  </si>
  <si>
    <t>Iš viso asignavimų</t>
  </si>
  <si>
    <t>Savivaldybės savarankiškoms funkcijoms vykdyti:</t>
  </si>
  <si>
    <t>1</t>
  </si>
  <si>
    <t>(tūkst. Eur)</t>
  </si>
  <si>
    <t>3 priedas</t>
  </si>
  <si>
    <t>2.1</t>
  </si>
  <si>
    <t>1.1</t>
  </si>
  <si>
    <t>7.1</t>
  </si>
  <si>
    <t>9.1</t>
  </si>
  <si>
    <t>3.1</t>
  </si>
  <si>
    <t>5.1</t>
  </si>
  <si>
    <t>4.1</t>
  </si>
  <si>
    <t>6.1</t>
  </si>
  <si>
    <t>8.1</t>
  </si>
  <si>
    <t>10.1</t>
  </si>
  <si>
    <t>11.1</t>
  </si>
  <si>
    <t>12.1</t>
  </si>
  <si>
    <t>13.1</t>
  </si>
  <si>
    <t>14.1</t>
  </si>
  <si>
    <t>15.1</t>
  </si>
  <si>
    <t>16.1</t>
  </si>
  <si>
    <t>17.1</t>
  </si>
  <si>
    <t>18.1</t>
  </si>
  <si>
    <t>19.1</t>
  </si>
  <si>
    <t>20.1</t>
  </si>
  <si>
    <t>21.1</t>
  </si>
  <si>
    <t>22.1</t>
  </si>
  <si>
    <t>23.1</t>
  </si>
  <si>
    <t>24.1</t>
  </si>
  <si>
    <t>25.1</t>
  </si>
  <si>
    <t>26.1</t>
  </si>
  <si>
    <t>27.1</t>
  </si>
  <si>
    <t>41.1</t>
  </si>
  <si>
    <t>28.1</t>
  </si>
  <si>
    <t>29.1</t>
  </si>
  <si>
    <t>30.1</t>
  </si>
  <si>
    <t>31.1</t>
  </si>
  <si>
    <t>32.1</t>
  </si>
  <si>
    <t>33.1</t>
  </si>
  <si>
    <t>34.1</t>
  </si>
  <si>
    <t>35.1</t>
  </si>
  <si>
    <t>36.1</t>
  </si>
  <si>
    <t>37.1</t>
  </si>
  <si>
    <t>38.1</t>
  </si>
  <si>
    <t>49.1</t>
  </si>
  <si>
    <t>39.1</t>
  </si>
  <si>
    <t>39.2</t>
  </si>
  <si>
    <t>40.1</t>
  </si>
  <si>
    <t>40.2</t>
  </si>
  <si>
    <t>42.1</t>
  </si>
  <si>
    <t>43.1</t>
  </si>
  <si>
    <t>44.1</t>
  </si>
  <si>
    <t>44.3</t>
  </si>
  <si>
    <t>44.2</t>
  </si>
  <si>
    <t>44.4</t>
  </si>
  <si>
    <t>44.5</t>
  </si>
  <si>
    <t>45.1</t>
  </si>
  <si>
    <t>45.2</t>
  </si>
  <si>
    <t>45.3</t>
  </si>
  <si>
    <t>46.1</t>
  </si>
  <si>
    <t>46.2</t>
  </si>
  <si>
    <t>46.3</t>
  </si>
  <si>
    <t>46.4</t>
  </si>
  <si>
    <t>47.1</t>
  </si>
  <si>
    <t>47.2</t>
  </si>
  <si>
    <t>47.3</t>
  </si>
  <si>
    <t>47.4</t>
  </si>
  <si>
    <t>48.1</t>
  </si>
  <si>
    <t>48.2</t>
  </si>
  <si>
    <t>48.3</t>
  </si>
  <si>
    <t>48.4</t>
  </si>
  <si>
    <t>49.2</t>
  </si>
  <si>
    <t>49.3</t>
  </si>
  <si>
    <t>49.4</t>
  </si>
  <si>
    <t>49.5</t>
  </si>
  <si>
    <t>50.1</t>
  </si>
  <si>
    <t>50.2</t>
  </si>
  <si>
    <t>50.3</t>
  </si>
  <si>
    <t>50.4</t>
  </si>
  <si>
    <t>51.1</t>
  </si>
  <si>
    <t>51.2</t>
  </si>
  <si>
    <t>51.3</t>
  </si>
  <si>
    <t>51.4</t>
  </si>
  <si>
    <t>52.1</t>
  </si>
  <si>
    <t>52.2</t>
  </si>
  <si>
    <t>52.3</t>
  </si>
  <si>
    <t>52.4</t>
  </si>
  <si>
    <t>53.1</t>
  </si>
  <si>
    <t>53.2</t>
  </si>
  <si>
    <t>53.3</t>
  </si>
  <si>
    <t>53.4</t>
  </si>
  <si>
    <t>54.1</t>
  </si>
  <si>
    <t>54.3</t>
  </si>
  <si>
    <t>54.2</t>
  </si>
  <si>
    <t>54.4</t>
  </si>
  <si>
    <t>55.1</t>
  </si>
  <si>
    <t>55.3</t>
  </si>
  <si>
    <t>55.2</t>
  </si>
  <si>
    <t>55.4</t>
  </si>
  <si>
    <t>Eil. Nr.</t>
  </si>
  <si>
    <t>Infrastruktūros plėtros įmokos</t>
  </si>
  <si>
    <t>Mokesčiai už valstybinius gamtos išteklius</t>
  </si>
  <si>
    <t xml:space="preserve">                                                 1 priedas</t>
  </si>
  <si>
    <t xml:space="preserve"> (tūkst. Eur)</t>
  </si>
  <si>
    <t xml:space="preserve">             Pajamų pavadinimas</t>
  </si>
  <si>
    <t>Suma</t>
  </si>
  <si>
    <t xml:space="preserve"> MOKESČIAI (2+5+9)</t>
  </si>
  <si>
    <t>Pajamų ir pelno mokesčiai (3+4)</t>
  </si>
  <si>
    <t>Gyventojų pajamų mokestis pagal Lietuvos Respublikos 2025-2027 metų biudžeto patvirtinimo įstatymą</t>
  </si>
  <si>
    <t>Gyventojų pajamų mokestis iš veiklos, kuria verčiamasi turint verslo liudijimą</t>
  </si>
  <si>
    <t>Turto mokesčiai (6+7+8)</t>
  </si>
  <si>
    <t>Žemės mokestis</t>
  </si>
  <si>
    <t>Paveldimo turto mokestis</t>
  </si>
  <si>
    <t>Nekilnojamojo turto mokestis</t>
  </si>
  <si>
    <t>Prekių ir paslaugų mokesčiai (10)</t>
  </si>
  <si>
    <t>Mokestis už aplinkos teršimą</t>
  </si>
  <si>
    <t>Turto pajamos (13+14+15+16)</t>
  </si>
  <si>
    <t>Dividendai</t>
  </si>
  <si>
    <t xml:space="preserve">Nuomos mokestis už valstybinę žemę ir valstybinio vidaus  vandenų fondo vandens telkinius  </t>
  </si>
  <si>
    <t>Mokesčiai už medžiojamųjų gyvūnų išteklius</t>
  </si>
  <si>
    <t>Pajamos už prekes ir paslaugas</t>
  </si>
  <si>
    <t>Pajamos už ilgalaikio ir trumpalaikio materialiojo turto nuomą</t>
  </si>
  <si>
    <t xml:space="preserve">Įmokos už išlaikymą švietimo, socialinės apsaugos ir kitose  įstaigose </t>
  </si>
  <si>
    <t>Rinkliavos (23+24 )</t>
  </si>
  <si>
    <t>Valstybės rinkliava</t>
  </si>
  <si>
    <t>Vietinė rinkliava</t>
  </si>
  <si>
    <t>Pajamos iš baudų ir konfiskacijos</t>
  </si>
  <si>
    <t>Kitos neišvardytos pajamos</t>
  </si>
  <si>
    <t xml:space="preserve">MATERIALIOJO IR NEMATERIALIOJO TURTO REALIZAVIMO PAJAMOS </t>
  </si>
  <si>
    <t>DOTACIJOS IŠ KITŲ VALDŽIOS SEKTORIAUS  SUBJEKTŲ (30+34+35)</t>
  </si>
  <si>
    <t>Valstybinėms (perduotoms savivaldybėms) funkcijoms atlikti</t>
  </si>
  <si>
    <t>Ugdymo reikmėms finansuoti</t>
  </si>
  <si>
    <t>Kita tikslinė dotacija, iš jos:</t>
  </si>
  <si>
    <t>mokyklos specialiųjų ugdymosi poreikių turintiems mokiniams</t>
  </si>
  <si>
    <t xml:space="preserve">Valstybės biudžeto kitos dotacijos </t>
  </si>
  <si>
    <t>35</t>
  </si>
  <si>
    <t>Europos Sąjungos ir kitos tarptautinės finansinės paramos lėšos</t>
  </si>
  <si>
    <t>36</t>
  </si>
  <si>
    <t>37</t>
  </si>
  <si>
    <t>38</t>
  </si>
  <si>
    <t>Metų pradžios lėšų likutis</t>
  </si>
  <si>
    <t>39</t>
  </si>
  <si>
    <t>________________________________________________</t>
  </si>
  <si>
    <t xml:space="preserve">          KĖDAINIŲ RAJONO SAVIVALDYBĖS 2026 METŲ BIUDŽETO PAJAMOS</t>
  </si>
  <si>
    <t>KITOS PAJAMOS (12+17+22+25+26+27)</t>
  </si>
  <si>
    <t>Pajamos už prekes ir paslaugas (18+19+20)</t>
  </si>
  <si>
    <t>Iš viso (1+11+28)</t>
  </si>
  <si>
    <t>Valstybės biudžeto specialioji tikslinė dotacija (32+33+34)</t>
  </si>
  <si>
    <t xml:space="preserve">                                       IŠ VISO PAJAMŲ IR DOTACIJŲ (29+30)</t>
  </si>
  <si>
    <t xml:space="preserve">Finansinių įsipareigojimų prisiėmimas (skolinimasis) </t>
  </si>
  <si>
    <t>40</t>
  </si>
  <si>
    <t xml:space="preserve">     IŠ VISO (37+38+39)</t>
  </si>
  <si>
    <t>KĖDAINIŲ RAJONO  SAVIVALDYBĖS 2026 METŲ  BIUDŽETO ASIGNAVIMAI</t>
  </si>
  <si>
    <t>Kėdainių rajono savivaldybės 2026 m. biudžeto išlaidų planas pagal programas ir finansavimo šaltinius</t>
  </si>
  <si>
    <t>Šėtos socialinės globos namai</t>
  </si>
  <si>
    <t>Kėdainių r. Josvainių Vlado Balsio gimnazija</t>
  </si>
  <si>
    <t xml:space="preserve">    (Kėdainių rajono savivaldybės tarybos</t>
  </si>
  <si>
    <t xml:space="preserve">  </t>
  </si>
  <si>
    <t xml:space="preserve">                               (Kėdainių rajono savivaldybės tarybos</t>
  </si>
  <si>
    <t xml:space="preserve">                                                          Kėdainių rajono savivaldybės tarybos</t>
  </si>
  <si>
    <t xml:space="preserve">                                                          2026 m. vasario 20 d. sprendimo Nr. TS-36</t>
  </si>
  <si>
    <t xml:space="preserve">    2026 m. vasario 20 d. sprendimo Nr. TS-36</t>
  </si>
  <si>
    <t xml:space="preserve">    Kėdainių rajono savivaldybės tarybos</t>
  </si>
  <si>
    <t xml:space="preserve">                                                          2026 m. spalio 30 d. sprendimo Nr. TS-       redakcija)</t>
  </si>
  <si>
    <t xml:space="preserve">    2026 m. spalio 30 d. sprendimo Nr. TS-     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</si>
</sst>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;\-0.0;;"/>
    <numFmt numFmtId="166" formatCode="#,##0.0_ ;\-#,##0.0\ "/>
    <numFmt numFmtId="167" formatCode="#,##0.0"/>
  </numFmts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color rgb="FF00B05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7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164" fontId="2" fillId="0" borderId="2" xfId="0" applyNumberFormat="1" applyFont="1" applyBorder="1" applyAlignment="1">
      <alignment vertical="center"/>
    </xf>
    <xf numFmtId="166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 wrapText="1"/>
    </xf>
    <xf numFmtId="164" fontId="2" fillId="0" borderId="2" xfId="1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left" vertical="center"/>
    </xf>
    <xf numFmtId="164" fontId="1" fillId="0" borderId="5" xfId="0" applyNumberFormat="1" applyFont="1" applyBorder="1" applyAlignment="1">
      <alignment vertical="center" wrapText="1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vertical="center" wrapText="1"/>
    </xf>
    <xf numFmtId="166" fontId="5" fillId="0" borderId="1" xfId="0" applyNumberFormat="1" applyFont="1" applyBorder="1" applyAlignment="1">
      <alignment horizontal="right"/>
    </xf>
    <xf numFmtId="164" fontId="1" fillId="0" borderId="0" xfId="0" applyNumberFormat="1" applyFont="1"/>
    <xf numFmtId="166" fontId="3" fillId="0" borderId="0" xfId="0" applyNumberFormat="1" applyFont="1"/>
    <xf numFmtId="0" fontId="1" fillId="0" borderId="0" xfId="2" applyFont="1" applyAlignment="1">
      <alignment horizontal="right" vertical="center"/>
    </xf>
    <xf numFmtId="0" fontId="1" fillId="0" borderId="0" xfId="0" applyFont="1"/>
    <xf numFmtId="0" fontId="1" fillId="0" borderId="0" xfId="2" applyFont="1" applyAlignment="1">
      <alignment horizontal="right"/>
    </xf>
    <xf numFmtId="0" fontId="1" fillId="0" borderId="0" xfId="2" applyFont="1" applyAlignment="1">
      <alignment vertical="center"/>
    </xf>
    <xf numFmtId="0" fontId="1" fillId="0" borderId="0" xfId="2" applyFont="1"/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right" vertical="center"/>
    </xf>
    <xf numFmtId="0" fontId="2" fillId="0" borderId="1" xfId="2" applyFont="1" applyBorder="1" applyAlignment="1">
      <alignment vertical="center"/>
    </xf>
    <xf numFmtId="167" fontId="2" fillId="0" borderId="1" xfId="0" applyNumberFormat="1" applyFont="1" applyBorder="1"/>
    <xf numFmtId="0" fontId="1" fillId="0" borderId="1" xfId="2" applyFont="1" applyBorder="1" applyAlignment="1">
      <alignment vertical="center" wrapText="1"/>
    </xf>
    <xf numFmtId="167" fontId="1" fillId="0" borderId="1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vertical="center"/>
    </xf>
    <xf numFmtId="0" fontId="1" fillId="0" borderId="1" xfId="2" applyFont="1" applyBorder="1" applyAlignment="1">
      <alignment vertical="center"/>
    </xf>
    <xf numFmtId="0" fontId="1" fillId="0" borderId="0" xfId="0" applyFont="1" applyAlignment="1">
      <alignment vertical="center"/>
    </xf>
    <xf numFmtId="167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2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167" fontId="1" fillId="0" borderId="0" xfId="0" applyNumberFormat="1" applyFont="1"/>
    <xf numFmtId="0" fontId="2" fillId="0" borderId="1" xfId="2" applyFont="1" applyBorder="1" applyAlignment="1">
      <alignment horizontal="right" vertical="center"/>
    </xf>
    <xf numFmtId="0" fontId="2" fillId="0" borderId="1" xfId="0" applyFont="1" applyBorder="1"/>
    <xf numFmtId="0" fontId="8" fillId="0" borderId="0" xfId="0" applyFont="1"/>
    <xf numFmtId="167" fontId="1" fillId="0" borderId="1" xfId="0" applyNumberFormat="1" applyFont="1" applyBorder="1"/>
    <xf numFmtId="49" fontId="1" fillId="0" borderId="1" xfId="2" applyNumberFormat="1" applyFont="1" applyBorder="1" applyAlignment="1">
      <alignment horizontal="right" vertical="center"/>
    </xf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167" fontId="2" fillId="0" borderId="0" xfId="2" applyNumberFormat="1" applyFont="1"/>
    <xf numFmtId="167" fontId="2" fillId="0" borderId="0" xfId="0" applyNumberFormat="1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" fillId="0" borderId="0" xfId="2" applyFont="1" applyAlignment="1">
      <alignment horizontal="center"/>
    </xf>
    <xf numFmtId="164" fontId="1" fillId="0" borderId="3" xfId="0" applyNumberFormat="1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left" vertical="center" wrapText="1"/>
    </xf>
    <xf numFmtId="164" fontId="1" fillId="0" borderId="6" xfId="0" applyNumberFormat="1" applyFont="1" applyBorder="1" applyAlignment="1">
      <alignment horizontal="left" vertical="center" wrapText="1"/>
    </xf>
    <xf numFmtId="0" fontId="6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2" applyFont="1" applyAlignment="1">
      <alignment horizontal="right"/>
    </xf>
    <xf numFmtId="0" fontId="2" fillId="0" borderId="0" xfId="2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3">
    <cellStyle name="Įprastas" xfId="0" builtinId="0"/>
    <cellStyle name="Įprastas 2" xfId="2" xr:uid="{46124B1D-7FDB-4EB7-978A-89F804BEE668}"/>
    <cellStyle name="Normal_Sheet1_2009 m 02 men biudzetas." xfId="1" xr:uid="{9158BFCC-BFF5-4C67-8660-176A426C54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51A60-3605-4563-9DB1-FE312A15C8DC}">
  <dimension ref="A1:F84"/>
  <sheetViews>
    <sheetView tabSelected="1" zoomScaleNormal="100" workbookViewId="0">
      <selection activeCell="K19" sqref="K19"/>
    </sheetView>
  </sheetViews>
  <sheetFormatPr defaultColWidth="9.140625" defaultRowHeight="12.75" x14ac:dyDescent="0.2"/>
  <cols>
    <col min="1" max="1" width="4.140625" style="40" customWidth="1"/>
    <col min="2" max="2" width="67.7109375" style="27" customWidth="1"/>
    <col min="3" max="3" width="14.85546875" style="27" customWidth="1"/>
    <col min="4" max="16384" width="9.140625" style="27"/>
  </cols>
  <sheetData>
    <row r="1" spans="1:3" ht="15.75" x14ac:dyDescent="0.25">
      <c r="A1" s="26"/>
      <c r="B1" s="72" t="s">
        <v>227</v>
      </c>
      <c r="C1" s="72"/>
    </row>
    <row r="2" spans="1:3" ht="15.75" x14ac:dyDescent="0.25">
      <c r="A2" s="26"/>
      <c r="B2" s="73" t="s">
        <v>228</v>
      </c>
      <c r="C2" s="73"/>
    </row>
    <row r="3" spans="1:3" ht="15.75" x14ac:dyDescent="0.25">
      <c r="A3" s="26" t="s">
        <v>225</v>
      </c>
      <c r="B3" s="76" t="s">
        <v>226</v>
      </c>
      <c r="C3" s="76"/>
    </row>
    <row r="4" spans="1:3" ht="15.75" x14ac:dyDescent="0.25">
      <c r="A4" s="26"/>
      <c r="B4" s="76" t="s">
        <v>231</v>
      </c>
      <c r="C4" s="76"/>
    </row>
    <row r="5" spans="1:3" ht="15.75" x14ac:dyDescent="0.25">
      <c r="A5" s="74" t="s">
        <v>170</v>
      </c>
      <c r="B5" s="74"/>
      <c r="C5" s="74"/>
    </row>
    <row r="6" spans="1:3" x14ac:dyDescent="0.2">
      <c r="A6" s="26"/>
      <c r="B6" s="28"/>
      <c r="C6" s="28"/>
    </row>
    <row r="7" spans="1:3" ht="15" customHeight="1" x14ac:dyDescent="0.2">
      <c r="A7" s="75" t="s">
        <v>211</v>
      </c>
      <c r="B7" s="75"/>
      <c r="C7" s="75"/>
    </row>
    <row r="8" spans="1:3" x14ac:dyDescent="0.2">
      <c r="A8" s="29"/>
      <c r="B8" s="30"/>
      <c r="C8" s="28" t="s">
        <v>171</v>
      </c>
    </row>
    <row r="9" spans="1:3" ht="25.5" x14ac:dyDescent="0.2">
      <c r="A9" s="31" t="s">
        <v>167</v>
      </c>
      <c r="B9" s="32" t="s">
        <v>172</v>
      </c>
      <c r="C9" s="32" t="s">
        <v>173</v>
      </c>
    </row>
    <row r="10" spans="1:3" x14ac:dyDescent="0.2">
      <c r="A10" s="33">
        <v>1</v>
      </c>
      <c r="B10" s="34" t="s">
        <v>174</v>
      </c>
      <c r="C10" s="35">
        <f>+C11+C14+C18</f>
        <v>61899</v>
      </c>
    </row>
    <row r="11" spans="1:3" x14ac:dyDescent="0.2">
      <c r="A11" s="33">
        <v>2</v>
      </c>
      <c r="B11" s="34" t="s">
        <v>175</v>
      </c>
      <c r="C11" s="35">
        <f>+C12+C13</f>
        <v>58178</v>
      </c>
    </row>
    <row r="12" spans="1:3" ht="25.5" x14ac:dyDescent="0.2">
      <c r="A12" s="33">
        <v>3</v>
      </c>
      <c r="B12" s="36" t="s">
        <v>176</v>
      </c>
      <c r="C12" s="37">
        <v>58128</v>
      </c>
    </row>
    <row r="13" spans="1:3" x14ac:dyDescent="0.2">
      <c r="A13" s="33">
        <v>4</v>
      </c>
      <c r="B13" s="36" t="s">
        <v>177</v>
      </c>
      <c r="C13" s="37">
        <v>50</v>
      </c>
    </row>
    <row r="14" spans="1:3" x14ac:dyDescent="0.2">
      <c r="A14" s="33">
        <v>5</v>
      </c>
      <c r="B14" s="34" t="s">
        <v>178</v>
      </c>
      <c r="C14" s="38">
        <f>+C15+C17+C16</f>
        <v>3220</v>
      </c>
    </row>
    <row r="15" spans="1:3" x14ac:dyDescent="0.2">
      <c r="A15" s="33">
        <v>6</v>
      </c>
      <c r="B15" s="39" t="s">
        <v>179</v>
      </c>
      <c r="C15" s="37">
        <v>1400</v>
      </c>
    </row>
    <row r="16" spans="1:3" x14ac:dyDescent="0.2">
      <c r="A16" s="33">
        <v>7</v>
      </c>
      <c r="B16" s="39" t="s">
        <v>180</v>
      </c>
      <c r="C16" s="37">
        <v>20</v>
      </c>
    </row>
    <row r="17" spans="1:5" x14ac:dyDescent="0.2">
      <c r="A17" s="33">
        <v>8</v>
      </c>
      <c r="B17" s="39" t="s">
        <v>181</v>
      </c>
      <c r="C17" s="37">
        <v>1800</v>
      </c>
    </row>
    <row r="18" spans="1:5" x14ac:dyDescent="0.2">
      <c r="A18" s="33">
        <v>9</v>
      </c>
      <c r="B18" s="34" t="s">
        <v>182</v>
      </c>
      <c r="C18" s="35">
        <f>+C19</f>
        <v>501</v>
      </c>
    </row>
    <row r="19" spans="1:5" s="40" customFormat="1" ht="15.75" customHeight="1" x14ac:dyDescent="0.25">
      <c r="A19" s="33">
        <v>10</v>
      </c>
      <c r="B19" s="39" t="s">
        <v>183</v>
      </c>
      <c r="C19" s="37">
        <f>400+101</f>
        <v>501</v>
      </c>
      <c r="E19" s="41"/>
    </row>
    <row r="20" spans="1:5" x14ac:dyDescent="0.2">
      <c r="A20" s="33">
        <v>11</v>
      </c>
      <c r="B20" s="34" t="s">
        <v>212</v>
      </c>
      <c r="C20" s="38">
        <f>C21+C26+C30+C33+C34+C35</f>
        <v>6874.6</v>
      </c>
    </row>
    <row r="21" spans="1:5" x14ac:dyDescent="0.2">
      <c r="A21" s="33">
        <v>12</v>
      </c>
      <c r="B21" s="34" t="s">
        <v>184</v>
      </c>
      <c r="C21" s="38">
        <f>C23+C24+C25+C22</f>
        <v>915</v>
      </c>
    </row>
    <row r="22" spans="1:5" x14ac:dyDescent="0.2">
      <c r="A22" s="33">
        <v>13</v>
      </c>
      <c r="B22" s="42" t="s">
        <v>185</v>
      </c>
      <c r="C22" s="37">
        <f>30+107</f>
        <v>137</v>
      </c>
    </row>
    <row r="23" spans="1:5" ht="25.5" x14ac:dyDescent="0.2">
      <c r="A23" s="33">
        <v>14</v>
      </c>
      <c r="B23" s="36" t="s">
        <v>186</v>
      </c>
      <c r="C23" s="37">
        <v>650</v>
      </c>
    </row>
    <row r="24" spans="1:5" x14ac:dyDescent="0.2">
      <c r="A24" s="33">
        <v>15</v>
      </c>
      <c r="B24" s="39" t="s">
        <v>187</v>
      </c>
      <c r="C24" s="37">
        <v>55</v>
      </c>
    </row>
    <row r="25" spans="1:5" x14ac:dyDescent="0.2">
      <c r="A25" s="33">
        <v>16</v>
      </c>
      <c r="B25" s="43" t="s">
        <v>169</v>
      </c>
      <c r="C25" s="37">
        <f>65+8</f>
        <v>73</v>
      </c>
    </row>
    <row r="26" spans="1:5" x14ac:dyDescent="0.2">
      <c r="A26" s="33">
        <v>17</v>
      </c>
      <c r="B26" s="34" t="s">
        <v>213</v>
      </c>
      <c r="C26" s="38">
        <f>+C28+C27+C29</f>
        <v>3322.6</v>
      </c>
    </row>
    <row r="27" spans="1:5" x14ac:dyDescent="0.2">
      <c r="A27" s="33">
        <v>18</v>
      </c>
      <c r="B27" s="39" t="s">
        <v>188</v>
      </c>
      <c r="C27" s="37">
        <f>412+7.2</f>
        <v>419.2</v>
      </c>
    </row>
    <row r="28" spans="1:5" x14ac:dyDescent="0.2">
      <c r="A28" s="33">
        <v>19</v>
      </c>
      <c r="B28" s="39" t="s">
        <v>189</v>
      </c>
      <c r="C28" s="37">
        <f>321.5+10.2+10+0.5+0.7</f>
        <v>342.9</v>
      </c>
    </row>
    <row r="29" spans="1:5" x14ac:dyDescent="0.2">
      <c r="A29" s="33">
        <v>20</v>
      </c>
      <c r="B29" s="39" t="s">
        <v>190</v>
      </c>
      <c r="C29" s="37">
        <f>2560.1-2.6+3</f>
        <v>2560.5</v>
      </c>
    </row>
    <row r="30" spans="1:5" x14ac:dyDescent="0.2">
      <c r="A30" s="33">
        <v>22</v>
      </c>
      <c r="B30" s="34" t="s">
        <v>191</v>
      </c>
      <c r="C30" s="35">
        <f>+C31+C32</f>
        <v>2450</v>
      </c>
    </row>
    <row r="31" spans="1:5" x14ac:dyDescent="0.2">
      <c r="A31" s="33">
        <v>23</v>
      </c>
      <c r="B31" s="39" t="s">
        <v>192</v>
      </c>
      <c r="C31" s="37">
        <v>50</v>
      </c>
    </row>
    <row r="32" spans="1:5" x14ac:dyDescent="0.2">
      <c r="A32" s="33">
        <v>24</v>
      </c>
      <c r="B32" s="39" t="s">
        <v>193</v>
      </c>
      <c r="C32" s="37">
        <v>2400</v>
      </c>
    </row>
    <row r="33" spans="1:5" x14ac:dyDescent="0.2">
      <c r="A33" s="33">
        <v>25</v>
      </c>
      <c r="B33" s="34" t="s">
        <v>168</v>
      </c>
      <c r="C33" s="38">
        <v>55</v>
      </c>
    </row>
    <row r="34" spans="1:5" x14ac:dyDescent="0.2">
      <c r="A34" s="33">
        <v>26</v>
      </c>
      <c r="B34" s="34" t="s">
        <v>194</v>
      </c>
      <c r="C34" s="38">
        <v>50</v>
      </c>
    </row>
    <row r="35" spans="1:5" x14ac:dyDescent="0.2">
      <c r="A35" s="33">
        <v>27</v>
      </c>
      <c r="B35" s="34" t="s">
        <v>195</v>
      </c>
      <c r="C35" s="38">
        <f>62+20</f>
        <v>82</v>
      </c>
    </row>
    <row r="36" spans="1:5" x14ac:dyDescent="0.2">
      <c r="A36" s="33">
        <v>28</v>
      </c>
      <c r="B36" s="44" t="s">
        <v>196</v>
      </c>
      <c r="C36" s="38">
        <v>314</v>
      </c>
      <c r="D36" s="45"/>
    </row>
    <row r="37" spans="1:5" s="40" customFormat="1" x14ac:dyDescent="0.25">
      <c r="A37" s="33">
        <v>29</v>
      </c>
      <c r="B37" s="46" t="s">
        <v>214</v>
      </c>
      <c r="C37" s="38">
        <f>+C10+C20+C36</f>
        <v>69087.600000000006</v>
      </c>
      <c r="E37" s="41"/>
    </row>
    <row r="38" spans="1:5" s="40" customFormat="1" ht="12.75" customHeight="1" x14ac:dyDescent="0.25">
      <c r="A38" s="33">
        <v>30</v>
      </c>
      <c r="B38" s="34" t="s">
        <v>197</v>
      </c>
      <c r="C38" s="38">
        <f>+C39+C44+C45</f>
        <v>53887.5</v>
      </c>
      <c r="E38" s="41"/>
    </row>
    <row r="39" spans="1:5" s="40" customFormat="1" ht="15" customHeight="1" x14ac:dyDescent="0.2">
      <c r="A39" s="33">
        <v>31</v>
      </c>
      <c r="B39" s="47" t="s">
        <v>215</v>
      </c>
      <c r="C39" s="38">
        <f>+C40+C41+C42</f>
        <v>37868.5</v>
      </c>
      <c r="E39" s="41"/>
    </row>
    <row r="40" spans="1:5" ht="12.6" customHeight="1" x14ac:dyDescent="0.2">
      <c r="A40" s="33">
        <v>32</v>
      </c>
      <c r="B40" s="39" t="s">
        <v>198</v>
      </c>
      <c r="C40" s="37">
        <f>7998.6+29.6-7.4-56.3+2+400+5.2+150</f>
        <v>8521.7000000000007</v>
      </c>
      <c r="D40" s="48"/>
    </row>
    <row r="41" spans="1:5" ht="12.6" customHeight="1" x14ac:dyDescent="0.2">
      <c r="A41" s="33">
        <v>33</v>
      </c>
      <c r="B41" s="39" t="s">
        <v>199</v>
      </c>
      <c r="C41" s="37">
        <f>28783.1-219.5</f>
        <v>28563.599999999999</v>
      </c>
    </row>
    <row r="42" spans="1:5" ht="12.6" customHeight="1" x14ac:dyDescent="0.2">
      <c r="A42" s="33">
        <v>34</v>
      </c>
      <c r="B42" s="39" t="s">
        <v>200</v>
      </c>
      <c r="C42" s="49">
        <f>+C43</f>
        <v>783.2</v>
      </c>
    </row>
    <row r="43" spans="1:5" ht="12.6" customHeight="1" x14ac:dyDescent="0.2">
      <c r="A43" s="50" t="s">
        <v>107</v>
      </c>
      <c r="B43" s="36" t="s">
        <v>201</v>
      </c>
      <c r="C43" s="37">
        <v>783.2</v>
      </c>
    </row>
    <row r="44" spans="1:5" x14ac:dyDescent="0.2">
      <c r="A44" s="50" t="s">
        <v>203</v>
      </c>
      <c r="B44" s="47" t="s">
        <v>202</v>
      </c>
      <c r="C44" s="38">
        <f>5453.4+271.8+602+162.2+536.7+108.6+230.1+1973.7+62.1</f>
        <v>9400.6</v>
      </c>
    </row>
    <row r="45" spans="1:5" x14ac:dyDescent="0.2">
      <c r="A45" s="50" t="s">
        <v>205</v>
      </c>
      <c r="B45" s="44" t="s">
        <v>204</v>
      </c>
      <c r="C45" s="35">
        <f>6816.4-380-100-10-5+177+120</f>
        <v>6618.4</v>
      </c>
    </row>
    <row r="46" spans="1:5" ht="16.5" customHeight="1" x14ac:dyDescent="0.2">
      <c r="A46" s="50" t="s">
        <v>206</v>
      </c>
      <c r="B46" s="46" t="s">
        <v>216</v>
      </c>
      <c r="C46" s="38">
        <f>+C37+C38</f>
        <v>122975.1</v>
      </c>
    </row>
    <row r="47" spans="1:5" ht="12.6" customHeight="1" x14ac:dyDescent="0.2">
      <c r="A47" s="50" t="s">
        <v>207</v>
      </c>
      <c r="B47" s="51" t="s">
        <v>217</v>
      </c>
      <c r="C47" s="49">
        <f>2233+992.2+1150</f>
        <v>4375.2</v>
      </c>
    </row>
    <row r="48" spans="1:5" ht="12.6" customHeight="1" x14ac:dyDescent="0.2">
      <c r="A48" s="50" t="s">
        <v>209</v>
      </c>
      <c r="B48" s="51" t="s">
        <v>208</v>
      </c>
      <c r="C48" s="37">
        <v>7448</v>
      </c>
    </row>
    <row r="49" spans="1:6" x14ac:dyDescent="0.2">
      <c r="A49" s="50" t="s">
        <v>218</v>
      </c>
      <c r="B49" s="52" t="s">
        <v>219</v>
      </c>
      <c r="C49" s="35">
        <f>+C46+C47+C48</f>
        <v>134798.29999999999</v>
      </c>
    </row>
    <row r="50" spans="1:6" ht="12.6" customHeight="1" x14ac:dyDescent="0.2">
      <c r="A50" s="29"/>
      <c r="B50" s="28" t="s">
        <v>210</v>
      </c>
      <c r="C50" s="53"/>
    </row>
    <row r="51" spans="1:6" ht="12.6" customHeight="1" x14ac:dyDescent="0.2">
      <c r="A51" s="29"/>
      <c r="B51" s="28"/>
      <c r="C51" s="54"/>
    </row>
    <row r="52" spans="1:6" ht="12.6" customHeight="1" x14ac:dyDescent="0.2">
      <c r="A52" s="29"/>
      <c r="B52" s="28"/>
      <c r="C52" s="54"/>
    </row>
    <row r="53" spans="1:6" ht="12.6" customHeight="1" x14ac:dyDescent="0.2">
      <c r="B53" s="2"/>
    </row>
    <row r="54" spans="1:6" ht="12.6" customHeight="1" x14ac:dyDescent="0.2">
      <c r="B54" s="2"/>
      <c r="C54" s="54"/>
      <c r="F54" s="45"/>
    </row>
    <row r="55" spans="1:6" ht="12.6" customHeight="1" x14ac:dyDescent="0.2">
      <c r="B55" s="2"/>
      <c r="C55" s="54"/>
    </row>
    <row r="56" spans="1:6" ht="12.6" customHeight="1" x14ac:dyDescent="0.2">
      <c r="B56" s="2"/>
      <c r="C56" s="54"/>
    </row>
    <row r="57" spans="1:6" ht="12.6" customHeight="1" x14ac:dyDescent="0.2">
      <c r="B57" s="2"/>
      <c r="C57" s="45"/>
    </row>
    <row r="58" spans="1:6" ht="12.6" customHeight="1" x14ac:dyDescent="0.2">
      <c r="B58" s="2"/>
      <c r="C58" s="45"/>
    </row>
    <row r="59" spans="1:6" ht="12.6" customHeight="1" x14ac:dyDescent="0.2">
      <c r="B59" s="2"/>
      <c r="C59" s="54"/>
    </row>
    <row r="60" spans="1:6" ht="12.6" customHeight="1" x14ac:dyDescent="0.2">
      <c r="B60" s="2"/>
      <c r="C60" s="54"/>
    </row>
    <row r="61" spans="1:6" x14ac:dyDescent="0.2">
      <c r="B61" s="2"/>
      <c r="C61" s="54"/>
    </row>
    <row r="62" spans="1:6" x14ac:dyDescent="0.2">
      <c r="C62" s="54"/>
    </row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</sheetData>
  <mergeCells count="6">
    <mergeCell ref="B1:C1"/>
    <mergeCell ref="B2:C2"/>
    <mergeCell ref="A5:C5"/>
    <mergeCell ref="A7:C7"/>
    <mergeCell ref="B3:C3"/>
    <mergeCell ref="B4:C4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2"/>
  <sheetViews>
    <sheetView zoomScaleNormal="100" workbookViewId="0">
      <selection activeCell="T20" sqref="T20"/>
    </sheetView>
  </sheetViews>
  <sheetFormatPr defaultColWidth="9.140625" defaultRowHeight="12.75" x14ac:dyDescent="0.2"/>
  <cols>
    <col min="1" max="1" width="4.42578125" style="1" customWidth="1"/>
    <col min="2" max="2" width="35.42578125" style="1" customWidth="1"/>
    <col min="3" max="3" width="10.7109375" style="1" customWidth="1"/>
    <col min="4" max="4" width="12.85546875" style="1" customWidth="1"/>
    <col min="5" max="5" width="10.5703125" style="1" customWidth="1"/>
    <col min="6" max="6" width="11" style="1" customWidth="1"/>
    <col min="7" max="9" width="10.5703125" style="1" customWidth="1"/>
    <col min="10" max="10" width="10.140625" style="1" customWidth="1"/>
    <col min="11" max="11" width="10.5703125" style="1" customWidth="1"/>
    <col min="12" max="12" width="6.28515625" style="1" bestFit="1" customWidth="1"/>
    <col min="13" max="13" width="9.140625" style="1" customWidth="1"/>
    <col min="14" max="14" width="7.7109375" style="1" bestFit="1" customWidth="1"/>
    <col min="15" max="15" width="8.42578125" style="1" customWidth="1"/>
    <col min="16" max="16384" width="9.140625" style="1"/>
  </cols>
  <sheetData>
    <row r="1" spans="1:11" ht="15.75" x14ac:dyDescent="0.2">
      <c r="G1" s="55" t="s">
        <v>230</v>
      </c>
      <c r="H1" s="55"/>
      <c r="I1" s="55"/>
      <c r="J1" s="55"/>
      <c r="K1" s="55"/>
    </row>
    <row r="2" spans="1:11" ht="15.75" x14ac:dyDescent="0.2">
      <c r="G2" s="55" t="s">
        <v>229</v>
      </c>
      <c r="H2" s="55"/>
      <c r="I2" s="55"/>
      <c r="J2" s="55"/>
      <c r="K2" s="55"/>
    </row>
    <row r="3" spans="1:11" ht="15.75" x14ac:dyDescent="0.2">
      <c r="G3" s="55" t="s">
        <v>224</v>
      </c>
      <c r="H3" s="55"/>
      <c r="I3" s="55"/>
      <c r="J3" s="55"/>
      <c r="K3" s="55"/>
    </row>
    <row r="4" spans="1:11" ht="15.75" x14ac:dyDescent="0.2">
      <c r="G4" s="61" t="s">
        <v>232</v>
      </c>
      <c r="H4" s="61"/>
      <c r="I4" s="61"/>
      <c r="J4" s="61"/>
      <c r="K4" s="61"/>
    </row>
    <row r="5" spans="1:11" ht="15.75" x14ac:dyDescent="0.2">
      <c r="H5" s="56" t="s">
        <v>72</v>
      </c>
      <c r="I5" s="56"/>
      <c r="J5" s="56"/>
      <c r="K5" s="56"/>
    </row>
    <row r="6" spans="1:11" ht="15.75" customHeight="1" x14ac:dyDescent="0.2">
      <c r="A6" s="57" t="s">
        <v>220</v>
      </c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1:11" x14ac:dyDescent="0.2">
      <c r="K7" s="2" t="s">
        <v>71</v>
      </c>
    </row>
    <row r="8" spans="1:11" s="4" customFormat="1" ht="14.25" customHeight="1" x14ac:dyDescent="0.25">
      <c r="A8" s="58" t="s">
        <v>167</v>
      </c>
      <c r="B8" s="59" t="s">
        <v>54</v>
      </c>
      <c r="C8" s="59" t="s">
        <v>68</v>
      </c>
      <c r="D8" s="60" t="s">
        <v>0</v>
      </c>
      <c r="E8" s="60"/>
      <c r="F8" s="60"/>
      <c r="G8" s="60"/>
      <c r="H8" s="60"/>
      <c r="I8" s="60"/>
      <c r="J8" s="60"/>
      <c r="K8" s="60"/>
    </row>
    <row r="9" spans="1:11" s="4" customFormat="1" ht="17.25" customHeight="1" x14ac:dyDescent="0.25">
      <c r="A9" s="58"/>
      <c r="B9" s="59"/>
      <c r="C9" s="59"/>
      <c r="D9" s="59" t="s">
        <v>66</v>
      </c>
      <c r="E9" s="59" t="s">
        <v>67</v>
      </c>
      <c r="F9" s="60" t="s">
        <v>69</v>
      </c>
      <c r="G9" s="60"/>
      <c r="H9" s="60"/>
      <c r="I9" s="60"/>
      <c r="J9" s="60"/>
      <c r="K9" s="60"/>
    </row>
    <row r="10" spans="1:11" s="4" customFormat="1" ht="89.25" x14ac:dyDescent="0.25">
      <c r="A10" s="58"/>
      <c r="B10" s="59"/>
      <c r="C10" s="59"/>
      <c r="D10" s="59"/>
      <c r="E10" s="59"/>
      <c r="F10" s="3" t="s">
        <v>60</v>
      </c>
      <c r="G10" s="3" t="s">
        <v>61</v>
      </c>
      <c r="H10" s="3" t="s">
        <v>62</v>
      </c>
      <c r="I10" s="3" t="s">
        <v>63</v>
      </c>
      <c r="J10" s="3" t="s">
        <v>64</v>
      </c>
      <c r="K10" s="3" t="s">
        <v>65</v>
      </c>
    </row>
    <row r="11" spans="1:11" s="4" customFormat="1" x14ac:dyDescent="0.25">
      <c r="A11" s="5" t="s">
        <v>70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6">
        <v>11</v>
      </c>
    </row>
    <row r="12" spans="1:11" ht="13.5" customHeight="1" x14ac:dyDescent="0.2">
      <c r="A12" s="7">
        <v>1</v>
      </c>
      <c r="B12" s="8" t="s">
        <v>1</v>
      </c>
      <c r="C12" s="9">
        <f>+C13</f>
        <v>1232.5</v>
      </c>
      <c r="D12" s="10">
        <f t="shared" ref="D12:K12" si="0">+D13</f>
        <v>0</v>
      </c>
      <c r="E12" s="10">
        <f t="shared" si="0"/>
        <v>538.70000000000005</v>
      </c>
      <c r="F12" s="10">
        <f t="shared" si="0"/>
        <v>589.5</v>
      </c>
      <c r="G12" s="10">
        <f t="shared" si="0"/>
        <v>33.1</v>
      </c>
      <c r="H12" s="10">
        <f t="shared" si="0"/>
        <v>0</v>
      </c>
      <c r="I12" s="10">
        <f t="shared" si="0"/>
        <v>0</v>
      </c>
      <c r="J12" s="10">
        <f t="shared" si="0"/>
        <v>0</v>
      </c>
      <c r="K12" s="10">
        <f t="shared" si="0"/>
        <v>71.2</v>
      </c>
    </row>
    <row r="13" spans="1:11" ht="13.5" customHeight="1" x14ac:dyDescent="0.2">
      <c r="A13" s="11" t="s">
        <v>74</v>
      </c>
      <c r="B13" s="12" t="s">
        <v>55</v>
      </c>
      <c r="C13" s="9">
        <f>+D13+E13+F13+G13+H13+J13+K13+I13</f>
        <v>1232.5</v>
      </c>
      <c r="D13" s="10"/>
      <c r="E13" s="10">
        <f>512.1+26.6</f>
        <v>538.70000000000005</v>
      </c>
      <c r="F13" s="10">
        <f>605.2-15.7</f>
        <v>589.5</v>
      </c>
      <c r="G13" s="10">
        <f>21.2+11.9</f>
        <v>33.1</v>
      </c>
      <c r="H13" s="10"/>
      <c r="I13" s="10"/>
      <c r="J13" s="10"/>
      <c r="K13" s="10">
        <v>71.2</v>
      </c>
    </row>
    <row r="14" spans="1:11" ht="13.5" customHeight="1" x14ac:dyDescent="0.2">
      <c r="A14" s="7">
        <v>2</v>
      </c>
      <c r="B14" s="8" t="s">
        <v>2</v>
      </c>
      <c r="C14" s="9">
        <f>+C15</f>
        <v>1288.6000000000001</v>
      </c>
      <c r="D14" s="10">
        <f t="shared" ref="D14:H14" si="1">+D15</f>
        <v>0</v>
      </c>
      <c r="E14" s="10">
        <f t="shared" si="1"/>
        <v>577.79999999999995</v>
      </c>
      <c r="F14" s="10">
        <f t="shared" si="1"/>
        <v>590.1</v>
      </c>
      <c r="G14" s="10">
        <f t="shared" si="1"/>
        <v>33.700000000000003</v>
      </c>
      <c r="H14" s="10">
        <f t="shared" si="1"/>
        <v>0</v>
      </c>
      <c r="I14" s="10"/>
      <c r="J14" s="10">
        <f t="shared" ref="J14:K14" si="2">+J15</f>
        <v>0</v>
      </c>
      <c r="K14" s="10">
        <f t="shared" si="2"/>
        <v>87</v>
      </c>
    </row>
    <row r="15" spans="1:11" ht="13.5" customHeight="1" x14ac:dyDescent="0.2">
      <c r="A15" s="11" t="s">
        <v>73</v>
      </c>
      <c r="B15" s="12" t="s">
        <v>55</v>
      </c>
      <c r="C15" s="9">
        <f t="shared" ref="C15:C75" si="3">+D15+E15+F15+G15+H15+J15+K15</f>
        <v>1288.6000000000001</v>
      </c>
      <c r="D15" s="10"/>
      <c r="E15" s="10">
        <f>562.4+15.4</f>
        <v>577.79999999999995</v>
      </c>
      <c r="F15" s="10">
        <f>606.4-16.3</f>
        <v>590.1</v>
      </c>
      <c r="G15" s="10">
        <f>9.5+21.8+2.4</f>
        <v>33.700000000000003</v>
      </c>
      <c r="H15" s="10"/>
      <c r="I15" s="10"/>
      <c r="J15" s="10"/>
      <c r="K15" s="10">
        <v>87</v>
      </c>
    </row>
    <row r="16" spans="1:11" ht="13.5" customHeight="1" x14ac:dyDescent="0.2">
      <c r="A16" s="7">
        <v>3</v>
      </c>
      <c r="B16" s="8" t="s">
        <v>3</v>
      </c>
      <c r="C16" s="9">
        <f>+C17</f>
        <v>1180.7</v>
      </c>
      <c r="D16" s="10">
        <f t="shared" ref="D16:H16" si="4">+D17</f>
        <v>0</v>
      </c>
      <c r="E16" s="10">
        <f t="shared" si="4"/>
        <v>475.59999999999997</v>
      </c>
      <c r="F16" s="10">
        <f t="shared" si="4"/>
        <v>580.9</v>
      </c>
      <c r="G16" s="10">
        <f t="shared" si="4"/>
        <v>43.4</v>
      </c>
      <c r="H16" s="10">
        <f t="shared" si="4"/>
        <v>0</v>
      </c>
      <c r="I16" s="10"/>
      <c r="J16" s="10">
        <f t="shared" ref="J16:K16" si="5">+J17</f>
        <v>0</v>
      </c>
      <c r="K16" s="10">
        <f t="shared" si="5"/>
        <v>80.8</v>
      </c>
    </row>
    <row r="17" spans="1:11" ht="13.5" customHeight="1" x14ac:dyDescent="0.2">
      <c r="A17" s="11" t="s">
        <v>77</v>
      </c>
      <c r="B17" s="12" t="s">
        <v>55</v>
      </c>
      <c r="C17" s="9">
        <f t="shared" si="3"/>
        <v>1180.7</v>
      </c>
      <c r="D17" s="10"/>
      <c r="E17" s="10">
        <f>449.4+26.2</f>
        <v>475.59999999999997</v>
      </c>
      <c r="F17" s="10">
        <f>596.8-15.9</f>
        <v>580.9</v>
      </c>
      <c r="G17" s="10">
        <f>9.5+21.7+2.6+9.6</f>
        <v>43.4</v>
      </c>
      <c r="H17" s="10"/>
      <c r="I17" s="10"/>
      <c r="J17" s="10"/>
      <c r="K17" s="10">
        <v>80.8</v>
      </c>
    </row>
    <row r="18" spans="1:11" ht="13.5" customHeight="1" x14ac:dyDescent="0.2">
      <c r="A18" s="7">
        <v>4</v>
      </c>
      <c r="B18" s="8" t="s">
        <v>4</v>
      </c>
      <c r="C18" s="9">
        <f>+C19</f>
        <v>1371.0000000000002</v>
      </c>
      <c r="D18" s="10">
        <f t="shared" ref="D18:H18" si="6">+D19</f>
        <v>0</v>
      </c>
      <c r="E18" s="10">
        <f t="shared" si="6"/>
        <v>656</v>
      </c>
      <c r="F18" s="10">
        <f t="shared" si="6"/>
        <v>588.30000000000007</v>
      </c>
      <c r="G18" s="10">
        <f t="shared" si="6"/>
        <v>22.3</v>
      </c>
      <c r="H18" s="10">
        <f t="shared" si="6"/>
        <v>0</v>
      </c>
      <c r="I18" s="10"/>
      <c r="J18" s="10">
        <f t="shared" ref="J18:K18" si="7">+J19</f>
        <v>0</v>
      </c>
      <c r="K18" s="10">
        <f t="shared" si="7"/>
        <v>104.4</v>
      </c>
    </row>
    <row r="19" spans="1:11" ht="13.5" customHeight="1" x14ac:dyDescent="0.2">
      <c r="A19" s="11" t="s">
        <v>79</v>
      </c>
      <c r="B19" s="12" t="s">
        <v>55</v>
      </c>
      <c r="C19" s="9">
        <f t="shared" si="3"/>
        <v>1371.0000000000002</v>
      </c>
      <c r="D19" s="10"/>
      <c r="E19" s="10">
        <f>672.1-16.1</f>
        <v>656</v>
      </c>
      <c r="F19" s="10">
        <f>604.7-16.4</f>
        <v>588.30000000000007</v>
      </c>
      <c r="G19" s="10">
        <v>22.3</v>
      </c>
      <c r="H19" s="10"/>
      <c r="I19" s="10"/>
      <c r="J19" s="10"/>
      <c r="K19" s="10">
        <v>104.4</v>
      </c>
    </row>
    <row r="20" spans="1:11" ht="13.5" customHeight="1" x14ac:dyDescent="0.2">
      <c r="A20" s="7">
        <v>5</v>
      </c>
      <c r="B20" s="8" t="s">
        <v>5</v>
      </c>
      <c r="C20" s="9">
        <f>+C21</f>
        <v>1371.7</v>
      </c>
      <c r="D20" s="10">
        <f t="shared" ref="D20:H20" si="8">+D21</f>
        <v>0</v>
      </c>
      <c r="E20" s="10">
        <f t="shared" si="8"/>
        <v>619</v>
      </c>
      <c r="F20" s="10">
        <f t="shared" si="8"/>
        <v>629.9</v>
      </c>
      <c r="G20" s="10">
        <f t="shared" si="8"/>
        <v>25.7</v>
      </c>
      <c r="H20" s="10">
        <f t="shared" si="8"/>
        <v>0</v>
      </c>
      <c r="I20" s="10"/>
      <c r="J20" s="10">
        <f t="shared" ref="J20:K20" si="9">+J21</f>
        <v>0</v>
      </c>
      <c r="K20" s="10">
        <f t="shared" si="9"/>
        <v>97.1</v>
      </c>
    </row>
    <row r="21" spans="1:11" ht="13.5" customHeight="1" x14ac:dyDescent="0.2">
      <c r="A21" s="11" t="s">
        <v>78</v>
      </c>
      <c r="B21" s="12" t="s">
        <v>55</v>
      </c>
      <c r="C21" s="9">
        <f t="shared" si="3"/>
        <v>1371.7</v>
      </c>
      <c r="D21" s="10"/>
      <c r="E21" s="10">
        <f>628-9</f>
        <v>619</v>
      </c>
      <c r="F21" s="10">
        <f>646.6-16.7</f>
        <v>629.9</v>
      </c>
      <c r="G21" s="10">
        <f>22.9+2.8</f>
        <v>25.7</v>
      </c>
      <c r="H21" s="10"/>
      <c r="I21" s="10"/>
      <c r="J21" s="10"/>
      <c r="K21" s="10">
        <v>97.1</v>
      </c>
    </row>
    <row r="22" spans="1:11" ht="13.5" customHeight="1" x14ac:dyDescent="0.2">
      <c r="A22" s="7">
        <v>6</v>
      </c>
      <c r="B22" s="8" t="s">
        <v>6</v>
      </c>
      <c r="C22" s="9">
        <f>+C23</f>
        <v>1465.3999999999999</v>
      </c>
      <c r="D22" s="10">
        <f t="shared" ref="D22:H22" si="10">+D23</f>
        <v>0</v>
      </c>
      <c r="E22" s="10">
        <f t="shared" si="10"/>
        <v>650.20000000000005</v>
      </c>
      <c r="F22" s="10">
        <f t="shared" si="10"/>
        <v>705.59999999999991</v>
      </c>
      <c r="G22" s="10">
        <f t="shared" si="10"/>
        <v>46.800000000000004</v>
      </c>
      <c r="H22" s="10">
        <f t="shared" si="10"/>
        <v>0</v>
      </c>
      <c r="I22" s="10"/>
      <c r="J22" s="10">
        <f t="shared" ref="J22:K22" si="11">+J23</f>
        <v>0</v>
      </c>
      <c r="K22" s="10">
        <f t="shared" si="11"/>
        <v>62.8</v>
      </c>
    </row>
    <row r="23" spans="1:11" ht="13.5" customHeight="1" x14ac:dyDescent="0.2">
      <c r="A23" s="11" t="s">
        <v>80</v>
      </c>
      <c r="B23" s="12" t="s">
        <v>55</v>
      </c>
      <c r="C23" s="9">
        <f t="shared" si="3"/>
        <v>1465.3999999999999</v>
      </c>
      <c r="D23" s="10"/>
      <c r="E23" s="10">
        <f>639.5+10.7</f>
        <v>650.20000000000005</v>
      </c>
      <c r="F23" s="10">
        <f>724.3-18.7</f>
        <v>705.59999999999991</v>
      </c>
      <c r="G23" s="10">
        <f>14.3+25.4+7.1</f>
        <v>46.800000000000004</v>
      </c>
      <c r="H23" s="10"/>
      <c r="I23" s="10"/>
      <c r="J23" s="10"/>
      <c r="K23" s="10">
        <v>62.8</v>
      </c>
    </row>
    <row r="24" spans="1:11" ht="13.5" customHeight="1" x14ac:dyDescent="0.2">
      <c r="A24" s="7">
        <v>7</v>
      </c>
      <c r="B24" s="8" t="s">
        <v>7</v>
      </c>
      <c r="C24" s="9">
        <f>+C25</f>
        <v>1510</v>
      </c>
      <c r="D24" s="10">
        <f t="shared" ref="D24:H24" si="12">+D25</f>
        <v>0</v>
      </c>
      <c r="E24" s="10">
        <f t="shared" si="12"/>
        <v>691.30000000000007</v>
      </c>
      <c r="F24" s="10">
        <f t="shared" si="12"/>
        <v>663.1</v>
      </c>
      <c r="G24" s="10">
        <f t="shared" si="12"/>
        <v>57.599999999999994</v>
      </c>
      <c r="H24" s="10">
        <f t="shared" si="12"/>
        <v>0</v>
      </c>
      <c r="I24" s="10"/>
      <c r="J24" s="10">
        <f t="shared" ref="J24:K24" si="13">+J25</f>
        <v>0</v>
      </c>
      <c r="K24" s="10">
        <f t="shared" si="13"/>
        <v>98</v>
      </c>
    </row>
    <row r="25" spans="1:11" ht="13.5" customHeight="1" x14ac:dyDescent="0.2">
      <c r="A25" s="11" t="s">
        <v>75</v>
      </c>
      <c r="B25" s="12" t="s">
        <v>55</v>
      </c>
      <c r="C25" s="9">
        <f t="shared" si="3"/>
        <v>1510</v>
      </c>
      <c r="D25" s="10"/>
      <c r="E25" s="10">
        <f>659.2+32.1</f>
        <v>691.30000000000007</v>
      </c>
      <c r="F25" s="10">
        <f>679.9-16.8</f>
        <v>663.1</v>
      </c>
      <c r="G25" s="10">
        <f>23.9+22.9+1.3+9.5</f>
        <v>57.599999999999994</v>
      </c>
      <c r="H25" s="10"/>
      <c r="I25" s="10"/>
      <c r="J25" s="10"/>
      <c r="K25" s="10">
        <v>98</v>
      </c>
    </row>
    <row r="26" spans="1:11" ht="25.5" x14ac:dyDescent="0.2">
      <c r="A26" s="7">
        <v>8</v>
      </c>
      <c r="B26" s="13" t="s">
        <v>8</v>
      </c>
      <c r="C26" s="9">
        <f>+C27</f>
        <v>946.70000000000016</v>
      </c>
      <c r="D26" s="10">
        <f t="shared" ref="D26:H26" si="14">+D27</f>
        <v>0</v>
      </c>
      <c r="E26" s="9">
        <f t="shared" si="14"/>
        <v>501.20000000000005</v>
      </c>
      <c r="F26" s="10">
        <f t="shared" si="14"/>
        <v>388.30000000000007</v>
      </c>
      <c r="G26" s="10">
        <f t="shared" si="14"/>
        <v>23.6</v>
      </c>
      <c r="H26" s="10">
        <f t="shared" si="14"/>
        <v>0</v>
      </c>
      <c r="I26" s="10"/>
      <c r="J26" s="10">
        <f t="shared" ref="J26:K26" si="15">+J27</f>
        <v>0</v>
      </c>
      <c r="K26" s="10">
        <f t="shared" si="15"/>
        <v>33.599999999999994</v>
      </c>
    </row>
    <row r="27" spans="1:11" ht="13.5" customHeight="1" x14ac:dyDescent="0.2">
      <c r="A27" s="11" t="s">
        <v>81</v>
      </c>
      <c r="B27" s="12" t="s">
        <v>55</v>
      </c>
      <c r="C27" s="9">
        <f t="shared" si="3"/>
        <v>946.70000000000016</v>
      </c>
      <c r="D27" s="10"/>
      <c r="E27" s="9">
        <f>712.1-210.9</f>
        <v>501.20000000000005</v>
      </c>
      <c r="F27" s="10">
        <f>608.5-17.3-202.9</f>
        <v>388.30000000000007</v>
      </c>
      <c r="G27" s="10">
        <v>23.6</v>
      </c>
      <c r="H27" s="10"/>
      <c r="I27" s="10"/>
      <c r="J27" s="10"/>
      <c r="K27" s="10">
        <f>62.5-0.1-28.8</f>
        <v>33.599999999999994</v>
      </c>
    </row>
    <row r="28" spans="1:11" ht="13.5" customHeight="1" x14ac:dyDescent="0.2">
      <c r="A28" s="7">
        <v>9</v>
      </c>
      <c r="B28" s="8" t="s">
        <v>9</v>
      </c>
      <c r="C28" s="9">
        <f>+C29</f>
        <v>2705.7000000000007</v>
      </c>
      <c r="D28" s="10">
        <f t="shared" ref="D28:H28" si="16">+D29</f>
        <v>0</v>
      </c>
      <c r="E28" s="9">
        <f t="shared" si="16"/>
        <v>2097.8000000000002</v>
      </c>
      <c r="F28" s="10">
        <f t="shared" si="16"/>
        <v>556.79999999999995</v>
      </c>
      <c r="G28" s="10">
        <f t="shared" si="16"/>
        <v>21.8</v>
      </c>
      <c r="H28" s="10">
        <f t="shared" si="16"/>
        <v>0</v>
      </c>
      <c r="I28" s="10"/>
      <c r="J28" s="10">
        <f t="shared" ref="J28:K28" si="17">+J29</f>
        <v>0</v>
      </c>
      <c r="K28" s="10">
        <f t="shared" si="17"/>
        <v>29.3</v>
      </c>
    </row>
    <row r="29" spans="1:11" ht="13.5" customHeight="1" x14ac:dyDescent="0.2">
      <c r="A29" s="11" t="s">
        <v>76</v>
      </c>
      <c r="B29" s="12" t="s">
        <v>55</v>
      </c>
      <c r="C29" s="9">
        <f t="shared" si="3"/>
        <v>2705.7000000000007</v>
      </c>
      <c r="D29" s="10"/>
      <c r="E29" s="9">
        <f>2067.8+30</f>
        <v>2097.8000000000002</v>
      </c>
      <c r="F29" s="10">
        <v>556.79999999999995</v>
      </c>
      <c r="G29" s="10">
        <f>20.5+1.3</f>
        <v>21.8</v>
      </c>
      <c r="H29" s="10"/>
      <c r="I29" s="10"/>
      <c r="J29" s="10"/>
      <c r="K29" s="10">
        <v>29.3</v>
      </c>
    </row>
    <row r="30" spans="1:11" ht="13.5" customHeight="1" x14ac:dyDescent="0.2">
      <c r="A30" s="7">
        <v>10</v>
      </c>
      <c r="B30" s="8" t="s">
        <v>10</v>
      </c>
      <c r="C30" s="9">
        <f>+C31</f>
        <v>2751.5</v>
      </c>
      <c r="D30" s="10">
        <f t="shared" ref="D30:H30" si="18">+D31</f>
        <v>0</v>
      </c>
      <c r="E30" s="9">
        <f t="shared" si="18"/>
        <v>2055.6</v>
      </c>
      <c r="F30" s="10">
        <f t="shared" si="18"/>
        <v>625.4</v>
      </c>
      <c r="G30" s="10">
        <f t="shared" si="18"/>
        <v>41.3</v>
      </c>
      <c r="H30" s="10">
        <f t="shared" si="18"/>
        <v>0</v>
      </c>
      <c r="I30" s="10"/>
      <c r="J30" s="10">
        <f t="shared" ref="J30:K30" si="19">+J31</f>
        <v>0</v>
      </c>
      <c r="K30" s="10">
        <f t="shared" si="19"/>
        <v>29.2</v>
      </c>
    </row>
    <row r="31" spans="1:11" ht="13.5" customHeight="1" x14ac:dyDescent="0.2">
      <c r="A31" s="11" t="s">
        <v>82</v>
      </c>
      <c r="B31" s="12" t="s">
        <v>55</v>
      </c>
      <c r="C31" s="9">
        <f t="shared" si="3"/>
        <v>2751.5</v>
      </c>
      <c r="D31" s="10"/>
      <c r="E31" s="9">
        <f>2016.8+38.8</f>
        <v>2055.6</v>
      </c>
      <c r="F31" s="10">
        <f>634.7-13.1+3.8</f>
        <v>625.4</v>
      </c>
      <c r="G31" s="10">
        <f>22.8+18.5</f>
        <v>41.3</v>
      </c>
      <c r="H31" s="10"/>
      <c r="I31" s="10"/>
      <c r="J31" s="10"/>
      <c r="K31" s="10">
        <v>29.2</v>
      </c>
    </row>
    <row r="32" spans="1:11" ht="13.5" customHeight="1" x14ac:dyDescent="0.2">
      <c r="A32" s="7">
        <v>11</v>
      </c>
      <c r="B32" s="13" t="s">
        <v>11</v>
      </c>
      <c r="C32" s="9">
        <f>+C33</f>
        <v>3980.3</v>
      </c>
      <c r="D32" s="10">
        <f t="shared" ref="D32:H32" si="20">+D33</f>
        <v>0</v>
      </c>
      <c r="E32" s="9">
        <f t="shared" si="20"/>
        <v>2409.5</v>
      </c>
      <c r="F32" s="9">
        <f t="shared" si="20"/>
        <v>1511.5</v>
      </c>
      <c r="G32" s="10">
        <f t="shared" si="20"/>
        <v>16.799999999999997</v>
      </c>
      <c r="H32" s="10">
        <f t="shared" si="20"/>
        <v>0</v>
      </c>
      <c r="I32" s="10"/>
      <c r="J32" s="10">
        <f t="shared" ref="J32:K32" si="21">+J33</f>
        <v>0</v>
      </c>
      <c r="K32" s="10">
        <f t="shared" si="21"/>
        <v>42.500000000000007</v>
      </c>
    </row>
    <row r="33" spans="1:11" ht="13.5" customHeight="1" x14ac:dyDescent="0.2">
      <c r="A33" s="11" t="s">
        <v>83</v>
      </c>
      <c r="B33" s="12" t="s">
        <v>55</v>
      </c>
      <c r="C33" s="9">
        <f t="shared" si="3"/>
        <v>3980.3</v>
      </c>
      <c r="D33" s="10"/>
      <c r="E33" s="9">
        <f>2254.9+154.6</f>
        <v>2409.5</v>
      </c>
      <c r="F33" s="9">
        <f>1423.7-11.8+125.8-26.2</f>
        <v>1511.5</v>
      </c>
      <c r="G33" s="10">
        <f>16.4+0.4</f>
        <v>16.799999999999997</v>
      </c>
      <c r="H33" s="10"/>
      <c r="I33" s="10"/>
      <c r="J33" s="10"/>
      <c r="K33" s="10">
        <f>41.1+0.2+1.2</f>
        <v>42.500000000000007</v>
      </c>
    </row>
    <row r="34" spans="1:11" ht="25.5" x14ac:dyDescent="0.2">
      <c r="A34" s="7">
        <v>12</v>
      </c>
      <c r="B34" s="13" t="s">
        <v>223</v>
      </c>
      <c r="C34" s="9">
        <f>+C35</f>
        <v>1834.4</v>
      </c>
      <c r="D34" s="10">
        <f t="shared" ref="D34:H34" si="22">+D35</f>
        <v>0</v>
      </c>
      <c r="E34" s="9">
        <f t="shared" si="22"/>
        <v>1301.2</v>
      </c>
      <c r="F34" s="10">
        <f t="shared" si="22"/>
        <v>518.90000000000009</v>
      </c>
      <c r="G34" s="10">
        <f t="shared" si="22"/>
        <v>3.5</v>
      </c>
      <c r="H34" s="10">
        <f t="shared" si="22"/>
        <v>0</v>
      </c>
      <c r="I34" s="10"/>
      <c r="J34" s="10">
        <f t="shared" ref="J34:K34" si="23">+J35</f>
        <v>0</v>
      </c>
      <c r="K34" s="10">
        <f t="shared" si="23"/>
        <v>10.8</v>
      </c>
    </row>
    <row r="35" spans="1:11" ht="13.5" customHeight="1" x14ac:dyDescent="0.2">
      <c r="A35" s="11" t="s">
        <v>84</v>
      </c>
      <c r="B35" s="12" t="s">
        <v>55</v>
      </c>
      <c r="C35" s="9">
        <f t="shared" si="3"/>
        <v>1834.4</v>
      </c>
      <c r="D35" s="10"/>
      <c r="E35" s="9">
        <f>1248.7+52.5</f>
        <v>1301.2</v>
      </c>
      <c r="F35" s="10">
        <f>520.7-1.8</f>
        <v>518.90000000000009</v>
      </c>
      <c r="G35" s="10">
        <f>2.6+0.9</f>
        <v>3.5</v>
      </c>
      <c r="H35" s="10"/>
      <c r="I35" s="10"/>
      <c r="J35" s="10"/>
      <c r="K35" s="10">
        <v>10.8</v>
      </c>
    </row>
    <row r="36" spans="1:11" ht="25.5" x14ac:dyDescent="0.2">
      <c r="A36" s="7">
        <v>13</v>
      </c>
      <c r="B36" s="13" t="s">
        <v>12</v>
      </c>
      <c r="C36" s="9">
        <f>+C37</f>
        <v>2576.3999999999996</v>
      </c>
      <c r="D36" s="10">
        <f t="shared" ref="D36:H36" si="24">+D37</f>
        <v>0</v>
      </c>
      <c r="E36" s="9">
        <f t="shared" si="24"/>
        <v>1363.1</v>
      </c>
      <c r="F36" s="9">
        <f t="shared" si="24"/>
        <v>1178.6999999999998</v>
      </c>
      <c r="G36" s="10">
        <f t="shared" si="24"/>
        <v>10.9</v>
      </c>
      <c r="H36" s="10">
        <f t="shared" si="24"/>
        <v>0</v>
      </c>
      <c r="I36" s="10"/>
      <c r="J36" s="10">
        <f t="shared" ref="J36:K36" si="25">+J37</f>
        <v>0</v>
      </c>
      <c r="K36" s="10">
        <f t="shared" si="25"/>
        <v>23.7</v>
      </c>
    </row>
    <row r="37" spans="1:11" ht="13.5" customHeight="1" x14ac:dyDescent="0.2">
      <c r="A37" s="11" t="s">
        <v>85</v>
      </c>
      <c r="B37" s="12" t="s">
        <v>55</v>
      </c>
      <c r="C37" s="9">
        <f t="shared" si="3"/>
        <v>2576.3999999999996</v>
      </c>
      <c r="D37" s="10"/>
      <c r="E37" s="9">
        <f>1373.3-10.2</f>
        <v>1363.1</v>
      </c>
      <c r="F37" s="9">
        <f>1173.3-7.7+13.1</f>
        <v>1178.6999999999998</v>
      </c>
      <c r="G37" s="10">
        <v>10.9</v>
      </c>
      <c r="H37" s="10"/>
      <c r="I37" s="10"/>
      <c r="J37" s="10"/>
      <c r="K37" s="10">
        <v>23.7</v>
      </c>
    </row>
    <row r="38" spans="1:11" ht="13.5" customHeight="1" x14ac:dyDescent="0.2">
      <c r="A38" s="7">
        <v>14</v>
      </c>
      <c r="B38" s="8" t="s">
        <v>13</v>
      </c>
      <c r="C38" s="9">
        <f>+C39</f>
        <v>2449.3999999999996</v>
      </c>
      <c r="D38" s="10">
        <f t="shared" ref="D38:H38" si="26">+D39</f>
        <v>0</v>
      </c>
      <c r="E38" s="9">
        <f t="shared" si="26"/>
        <v>1398.1999999999998</v>
      </c>
      <c r="F38" s="9">
        <f t="shared" si="26"/>
        <v>989.5</v>
      </c>
      <c r="G38" s="10">
        <f t="shared" si="26"/>
        <v>9.6</v>
      </c>
      <c r="H38" s="10">
        <f t="shared" si="26"/>
        <v>0</v>
      </c>
      <c r="I38" s="10"/>
      <c r="J38" s="10">
        <f t="shared" ref="J38:K38" si="27">+J39</f>
        <v>0</v>
      </c>
      <c r="K38" s="10">
        <f t="shared" si="27"/>
        <v>52.1</v>
      </c>
    </row>
    <row r="39" spans="1:11" ht="13.5" customHeight="1" x14ac:dyDescent="0.2">
      <c r="A39" s="11" t="s">
        <v>86</v>
      </c>
      <c r="B39" s="12" t="s">
        <v>55</v>
      </c>
      <c r="C39" s="9">
        <f t="shared" si="3"/>
        <v>2449.3999999999996</v>
      </c>
      <c r="D39" s="10"/>
      <c r="E39" s="9">
        <f>1313.1+37.8+47.3</f>
        <v>1398.1999999999998</v>
      </c>
      <c r="F39" s="9">
        <f>960.7-6.6+22.3+13.1</f>
        <v>989.5</v>
      </c>
      <c r="G39" s="10">
        <f>8.9+0.7</f>
        <v>9.6</v>
      </c>
      <c r="H39" s="10"/>
      <c r="I39" s="10"/>
      <c r="J39" s="10"/>
      <c r="K39" s="10">
        <f>48.4+0.7+3</f>
        <v>52.1</v>
      </c>
    </row>
    <row r="40" spans="1:11" ht="25.5" x14ac:dyDescent="0.2">
      <c r="A40" s="7">
        <v>15</v>
      </c>
      <c r="B40" s="13" t="s">
        <v>14</v>
      </c>
      <c r="C40" s="9">
        <f>+C41</f>
        <v>3783.3</v>
      </c>
      <c r="D40" s="10">
        <f t="shared" ref="D40:H40" si="28">+D41</f>
        <v>0</v>
      </c>
      <c r="E40" s="9">
        <f t="shared" si="28"/>
        <v>2898</v>
      </c>
      <c r="F40" s="9">
        <f t="shared" si="28"/>
        <v>796.5</v>
      </c>
      <c r="G40" s="10">
        <f t="shared" si="28"/>
        <v>28.299999999999997</v>
      </c>
      <c r="H40" s="10">
        <f t="shared" si="28"/>
        <v>0</v>
      </c>
      <c r="I40" s="10"/>
      <c r="J40" s="10">
        <f t="shared" ref="J40:K40" si="29">+J41</f>
        <v>0</v>
      </c>
      <c r="K40" s="10">
        <f t="shared" si="29"/>
        <v>60.5</v>
      </c>
    </row>
    <row r="41" spans="1:11" ht="13.5" customHeight="1" x14ac:dyDescent="0.2">
      <c r="A41" s="11" t="s">
        <v>87</v>
      </c>
      <c r="B41" s="12" t="s">
        <v>55</v>
      </c>
      <c r="C41" s="9">
        <f t="shared" si="3"/>
        <v>3783.3</v>
      </c>
      <c r="D41" s="10"/>
      <c r="E41" s="9">
        <f>2888.9+9.1</f>
        <v>2898</v>
      </c>
      <c r="F41" s="9">
        <f>790.4-4.8+10.9</f>
        <v>796.5</v>
      </c>
      <c r="G41" s="10">
        <f>21.9+6.4</f>
        <v>28.299999999999997</v>
      </c>
      <c r="H41" s="10"/>
      <c r="I41" s="10"/>
      <c r="J41" s="10"/>
      <c r="K41" s="10">
        <v>60.5</v>
      </c>
    </row>
    <row r="42" spans="1:11" ht="13.5" customHeight="1" x14ac:dyDescent="0.2">
      <c r="A42" s="7">
        <v>16</v>
      </c>
      <c r="B42" s="8" t="s">
        <v>15</v>
      </c>
      <c r="C42" s="9">
        <f>+C43</f>
        <v>3603.6</v>
      </c>
      <c r="D42" s="10">
        <f t="shared" ref="D42:H42" si="30">+D43</f>
        <v>0</v>
      </c>
      <c r="E42" s="9">
        <f t="shared" si="30"/>
        <v>2981.4</v>
      </c>
      <c r="F42" s="9">
        <f t="shared" si="30"/>
        <v>577.4</v>
      </c>
      <c r="G42" s="10">
        <f t="shared" si="30"/>
        <v>35.200000000000003</v>
      </c>
      <c r="H42" s="10">
        <f t="shared" si="30"/>
        <v>0</v>
      </c>
      <c r="I42" s="10"/>
      <c r="J42" s="10">
        <f t="shared" ref="J42:K42" si="31">+J43</f>
        <v>0</v>
      </c>
      <c r="K42" s="10">
        <f t="shared" si="31"/>
        <v>9.6</v>
      </c>
    </row>
    <row r="43" spans="1:11" ht="13.5" customHeight="1" x14ac:dyDescent="0.2">
      <c r="A43" s="11" t="s">
        <v>88</v>
      </c>
      <c r="B43" s="12" t="s">
        <v>55</v>
      </c>
      <c r="C43" s="9">
        <f t="shared" si="3"/>
        <v>3603.6</v>
      </c>
      <c r="D43" s="10"/>
      <c r="E43" s="9">
        <f>2963+18.4</f>
        <v>2981.4</v>
      </c>
      <c r="F43" s="9">
        <f>583.4-6</f>
        <v>577.4</v>
      </c>
      <c r="G43" s="10">
        <f>23.4+8.8+3</f>
        <v>35.200000000000003</v>
      </c>
      <c r="H43" s="10"/>
      <c r="I43" s="10"/>
      <c r="J43" s="10"/>
      <c r="K43" s="10">
        <v>9.6</v>
      </c>
    </row>
    <row r="44" spans="1:11" ht="13.5" customHeight="1" x14ac:dyDescent="0.2">
      <c r="A44" s="7">
        <v>17</v>
      </c>
      <c r="B44" s="13" t="s">
        <v>16</v>
      </c>
      <c r="C44" s="9">
        <f>+C45</f>
        <v>3175.4</v>
      </c>
      <c r="D44" s="10">
        <f t="shared" ref="D44:H44" si="32">+D45</f>
        <v>0</v>
      </c>
      <c r="E44" s="9">
        <f t="shared" si="32"/>
        <v>2311.1999999999998</v>
      </c>
      <c r="F44" s="9">
        <f t="shared" si="32"/>
        <v>796.8</v>
      </c>
      <c r="G44" s="10">
        <f t="shared" si="32"/>
        <v>25.799999999999997</v>
      </c>
      <c r="H44" s="10">
        <f t="shared" si="32"/>
        <v>0</v>
      </c>
      <c r="I44" s="10"/>
      <c r="J44" s="10">
        <f t="shared" ref="J44:K44" si="33">+J45</f>
        <v>0</v>
      </c>
      <c r="K44" s="10">
        <f t="shared" si="33"/>
        <v>41.6</v>
      </c>
    </row>
    <row r="45" spans="1:11" ht="13.5" customHeight="1" x14ac:dyDescent="0.2">
      <c r="A45" s="11" t="s">
        <v>89</v>
      </c>
      <c r="B45" s="12" t="s">
        <v>55</v>
      </c>
      <c r="C45" s="9">
        <f t="shared" si="3"/>
        <v>3175.4</v>
      </c>
      <c r="D45" s="10"/>
      <c r="E45" s="9">
        <f>2137.7+210.9-37.4</f>
        <v>2311.1999999999998</v>
      </c>
      <c r="F45" s="9">
        <f>599.4-5.5+202.9</f>
        <v>796.8</v>
      </c>
      <c r="G45" s="10">
        <f>15.4+8+2.4</f>
        <v>25.799999999999997</v>
      </c>
      <c r="H45" s="10"/>
      <c r="I45" s="10"/>
      <c r="J45" s="10"/>
      <c r="K45" s="10">
        <f>12.7+0.1+28.8</f>
        <v>41.6</v>
      </c>
    </row>
    <row r="46" spans="1:11" ht="13.5" customHeight="1" x14ac:dyDescent="0.2">
      <c r="A46" s="7">
        <v>18</v>
      </c>
      <c r="B46" s="13" t="s">
        <v>17</v>
      </c>
      <c r="C46" s="9">
        <f>+C47</f>
        <v>1037.0999999999999</v>
      </c>
      <c r="D46" s="10">
        <f t="shared" ref="D46:H46" si="34">+D47</f>
        <v>0</v>
      </c>
      <c r="E46" s="10">
        <f t="shared" si="34"/>
        <v>668.4</v>
      </c>
      <c r="F46" s="10">
        <f t="shared" si="34"/>
        <v>365.3</v>
      </c>
      <c r="G46" s="10">
        <f t="shared" si="34"/>
        <v>1.8</v>
      </c>
      <c r="H46" s="10">
        <f t="shared" si="34"/>
        <v>0</v>
      </c>
      <c r="I46" s="10"/>
      <c r="J46" s="10">
        <f t="shared" ref="J46:K46" si="35">+J47</f>
        <v>0</v>
      </c>
      <c r="K46" s="10">
        <f t="shared" si="35"/>
        <v>1.6</v>
      </c>
    </row>
    <row r="47" spans="1:11" ht="13.5" customHeight="1" x14ac:dyDescent="0.2">
      <c r="A47" s="11" t="s">
        <v>90</v>
      </c>
      <c r="B47" s="12" t="s">
        <v>55</v>
      </c>
      <c r="C47" s="9">
        <f t="shared" si="3"/>
        <v>1037.0999999999999</v>
      </c>
      <c r="D47" s="10"/>
      <c r="E47" s="10">
        <f>669.6-1.2</f>
        <v>668.4</v>
      </c>
      <c r="F47" s="10">
        <f>366.5-1.2</f>
        <v>365.3</v>
      </c>
      <c r="G47" s="10">
        <v>1.8</v>
      </c>
      <c r="H47" s="10"/>
      <c r="I47" s="10"/>
      <c r="J47" s="10"/>
      <c r="K47" s="10">
        <f>1.3+0.3</f>
        <v>1.6</v>
      </c>
    </row>
    <row r="48" spans="1:11" ht="13.5" customHeight="1" x14ac:dyDescent="0.2">
      <c r="A48" s="7">
        <v>19</v>
      </c>
      <c r="B48" s="13" t="s">
        <v>18</v>
      </c>
      <c r="C48" s="9">
        <f>+C49</f>
        <v>2542.6999999999998</v>
      </c>
      <c r="D48" s="10">
        <f t="shared" ref="D48:H48" si="36">+D49</f>
        <v>0</v>
      </c>
      <c r="E48" s="10">
        <f t="shared" si="36"/>
        <v>1443.2</v>
      </c>
      <c r="F48" s="10">
        <f t="shared" si="36"/>
        <v>1016.8999999999999</v>
      </c>
      <c r="G48" s="10">
        <f t="shared" si="36"/>
        <v>19.600000000000001</v>
      </c>
      <c r="H48" s="10">
        <f t="shared" si="36"/>
        <v>0</v>
      </c>
      <c r="I48" s="10"/>
      <c r="J48" s="10">
        <f t="shared" ref="J48:K48" si="37">+J49</f>
        <v>0</v>
      </c>
      <c r="K48" s="10">
        <f t="shared" si="37"/>
        <v>63</v>
      </c>
    </row>
    <row r="49" spans="1:11" ht="13.5" customHeight="1" x14ac:dyDescent="0.2">
      <c r="A49" s="11" t="s">
        <v>91</v>
      </c>
      <c r="B49" s="12" t="s">
        <v>55</v>
      </c>
      <c r="C49" s="9">
        <f t="shared" si="3"/>
        <v>2542.6999999999998</v>
      </c>
      <c r="D49" s="10"/>
      <c r="E49" s="10">
        <f>1416.2+27</f>
        <v>1443.2</v>
      </c>
      <c r="F49" s="10">
        <f>1031.1-14.2</f>
        <v>1016.8999999999999</v>
      </c>
      <c r="G49" s="10">
        <v>19.600000000000001</v>
      </c>
      <c r="H49" s="10"/>
      <c r="I49" s="10"/>
      <c r="J49" s="10"/>
      <c r="K49" s="10">
        <v>63</v>
      </c>
    </row>
    <row r="50" spans="1:11" ht="25.5" x14ac:dyDescent="0.2">
      <c r="A50" s="7">
        <v>20</v>
      </c>
      <c r="B50" s="13" t="s">
        <v>19</v>
      </c>
      <c r="C50" s="9">
        <f>+C51</f>
        <v>605</v>
      </c>
      <c r="D50" s="10">
        <f t="shared" ref="D50:H50" si="38">+D51</f>
        <v>0</v>
      </c>
      <c r="E50" s="10">
        <f t="shared" si="38"/>
        <v>346.29999999999995</v>
      </c>
      <c r="F50" s="10">
        <f t="shared" si="38"/>
        <v>251.7</v>
      </c>
      <c r="G50" s="10">
        <f t="shared" si="38"/>
        <v>2.3000000000000003</v>
      </c>
      <c r="H50" s="10">
        <f t="shared" si="38"/>
        <v>0</v>
      </c>
      <c r="I50" s="10"/>
      <c r="J50" s="10">
        <f t="shared" ref="J50:K50" si="39">+J51</f>
        <v>0</v>
      </c>
      <c r="K50" s="10">
        <f t="shared" si="39"/>
        <v>4.6999999999999993</v>
      </c>
    </row>
    <row r="51" spans="1:11" ht="13.5" customHeight="1" x14ac:dyDescent="0.2">
      <c r="A51" s="11" t="s">
        <v>92</v>
      </c>
      <c r="B51" s="12" t="s">
        <v>55</v>
      </c>
      <c r="C51" s="9">
        <f t="shared" si="3"/>
        <v>605</v>
      </c>
      <c r="D51" s="10"/>
      <c r="E51" s="10">
        <f>500.9-154.6</f>
        <v>346.29999999999995</v>
      </c>
      <c r="F51" s="10">
        <f>379.4-1.9-125.8</f>
        <v>251.7</v>
      </c>
      <c r="G51" s="10">
        <f>2.7-0.4</f>
        <v>2.3000000000000003</v>
      </c>
      <c r="H51" s="10"/>
      <c r="I51" s="10"/>
      <c r="J51" s="10"/>
      <c r="K51" s="10">
        <f>6.1-0.2-1.2</f>
        <v>4.6999999999999993</v>
      </c>
    </row>
    <row r="52" spans="1:11" ht="25.5" x14ac:dyDescent="0.2">
      <c r="A52" s="7">
        <v>21</v>
      </c>
      <c r="B52" s="13" t="s">
        <v>20</v>
      </c>
      <c r="C52" s="9">
        <f>+C53</f>
        <v>1115.1000000000001</v>
      </c>
      <c r="D52" s="10">
        <f t="shared" ref="D52:H52" si="40">+D53</f>
        <v>0</v>
      </c>
      <c r="E52" s="10">
        <f t="shared" si="40"/>
        <v>287.7</v>
      </c>
      <c r="F52" s="10">
        <f t="shared" si="40"/>
        <v>671.7</v>
      </c>
      <c r="G52" s="10">
        <f t="shared" si="40"/>
        <v>19.600000000000001</v>
      </c>
      <c r="H52" s="10">
        <f t="shared" si="40"/>
        <v>0</v>
      </c>
      <c r="I52" s="10"/>
      <c r="J52" s="10">
        <f t="shared" ref="J52" si="41">+J53</f>
        <v>0</v>
      </c>
      <c r="K52" s="10">
        <f>+K53</f>
        <v>136.1</v>
      </c>
    </row>
    <row r="53" spans="1:11" ht="13.5" customHeight="1" x14ac:dyDescent="0.2">
      <c r="A53" s="11" t="s">
        <v>93</v>
      </c>
      <c r="B53" s="12" t="s">
        <v>55</v>
      </c>
      <c r="C53" s="9">
        <f t="shared" si="3"/>
        <v>1115.1000000000001</v>
      </c>
      <c r="D53" s="10"/>
      <c r="E53" s="10">
        <f>284.3+3.4</f>
        <v>287.7</v>
      </c>
      <c r="F53" s="10">
        <f>686.1-14.4</f>
        <v>671.7</v>
      </c>
      <c r="G53" s="10">
        <v>19.600000000000001</v>
      </c>
      <c r="H53" s="10"/>
      <c r="I53" s="10"/>
      <c r="J53" s="10"/>
      <c r="K53" s="10">
        <f>125.9+10.2</f>
        <v>136.1</v>
      </c>
    </row>
    <row r="54" spans="1:11" ht="13.5" customHeight="1" x14ac:dyDescent="0.2">
      <c r="A54" s="7">
        <v>22</v>
      </c>
      <c r="B54" s="8" t="s">
        <v>21</v>
      </c>
      <c r="C54" s="9">
        <f>+C55</f>
        <v>2234.5000000000005</v>
      </c>
      <c r="D54" s="10">
        <f t="shared" ref="D54:H54" si="42">+D55</f>
        <v>0</v>
      </c>
      <c r="E54" s="9">
        <f t="shared" si="42"/>
        <v>1270</v>
      </c>
      <c r="F54" s="10">
        <f t="shared" si="42"/>
        <v>158.9</v>
      </c>
      <c r="G54" s="10">
        <f t="shared" si="42"/>
        <v>784.80000000000007</v>
      </c>
      <c r="H54" s="10">
        <f t="shared" si="42"/>
        <v>0</v>
      </c>
      <c r="I54" s="10"/>
      <c r="J54" s="10">
        <f t="shared" ref="J54:K54" si="43">+J55</f>
        <v>0</v>
      </c>
      <c r="K54" s="10">
        <f t="shared" si="43"/>
        <v>20.8</v>
      </c>
    </row>
    <row r="55" spans="1:11" ht="13.5" customHeight="1" x14ac:dyDescent="0.2">
      <c r="A55" s="11" t="s">
        <v>94</v>
      </c>
      <c r="B55" s="12" t="s">
        <v>55</v>
      </c>
      <c r="C55" s="9">
        <f t="shared" si="3"/>
        <v>2234.5000000000005</v>
      </c>
      <c r="D55" s="10"/>
      <c r="E55" s="9">
        <f>1248.4+21.6</f>
        <v>1270</v>
      </c>
      <c r="F55" s="10">
        <f>148.6+10.3</f>
        <v>158.9</v>
      </c>
      <c r="G55" s="10">
        <f>783.2+1.6</f>
        <v>784.80000000000007</v>
      </c>
      <c r="H55" s="10"/>
      <c r="I55" s="10"/>
      <c r="J55" s="10"/>
      <c r="K55" s="10">
        <v>20.8</v>
      </c>
    </row>
    <row r="56" spans="1:11" ht="13.5" customHeight="1" x14ac:dyDescent="0.2">
      <c r="A56" s="7">
        <v>23</v>
      </c>
      <c r="B56" s="8" t="s">
        <v>22</v>
      </c>
      <c r="C56" s="9">
        <f>+C57</f>
        <v>801.8</v>
      </c>
      <c r="D56" s="10">
        <f t="shared" ref="D56:H56" si="44">+D57</f>
        <v>0</v>
      </c>
      <c r="E56" s="10">
        <f t="shared" si="44"/>
        <v>46.5</v>
      </c>
      <c r="F56" s="10">
        <f t="shared" si="44"/>
        <v>510.9</v>
      </c>
      <c r="G56" s="10">
        <f t="shared" si="44"/>
        <v>62.9</v>
      </c>
      <c r="H56" s="10">
        <f t="shared" si="44"/>
        <v>0</v>
      </c>
      <c r="I56" s="10"/>
      <c r="J56" s="10">
        <f t="shared" ref="J56:K56" si="45">+J57</f>
        <v>0</v>
      </c>
      <c r="K56" s="10">
        <f t="shared" si="45"/>
        <v>181.5</v>
      </c>
    </row>
    <row r="57" spans="1:11" ht="13.5" customHeight="1" x14ac:dyDescent="0.2">
      <c r="A57" s="11" t="s">
        <v>95</v>
      </c>
      <c r="B57" s="12" t="s">
        <v>55</v>
      </c>
      <c r="C57" s="9">
        <f t="shared" si="3"/>
        <v>801.8</v>
      </c>
      <c r="D57" s="10"/>
      <c r="E57" s="10">
        <f>31.5+15</f>
        <v>46.5</v>
      </c>
      <c r="F57" s="10">
        <f>569-43.1-15</f>
        <v>510.9</v>
      </c>
      <c r="G57" s="10">
        <f>59.9+3</f>
        <v>62.9</v>
      </c>
      <c r="H57" s="10"/>
      <c r="I57" s="10"/>
      <c r="J57" s="10"/>
      <c r="K57" s="10">
        <v>181.5</v>
      </c>
    </row>
    <row r="58" spans="1:11" ht="13.5" customHeight="1" x14ac:dyDescent="0.2">
      <c r="A58" s="7">
        <v>24</v>
      </c>
      <c r="B58" s="8" t="s">
        <v>23</v>
      </c>
      <c r="C58" s="9">
        <f>+C59</f>
        <v>616.30000000000007</v>
      </c>
      <c r="D58" s="10">
        <f t="shared" ref="D58:H58" si="46">+D59</f>
        <v>0</v>
      </c>
      <c r="E58" s="10">
        <f t="shared" si="46"/>
        <v>0</v>
      </c>
      <c r="F58" s="10">
        <f t="shared" si="46"/>
        <v>501</v>
      </c>
      <c r="G58" s="10">
        <f t="shared" si="46"/>
        <v>40.700000000000003</v>
      </c>
      <c r="H58" s="10">
        <f t="shared" si="46"/>
        <v>0</v>
      </c>
      <c r="I58" s="10"/>
      <c r="J58" s="10">
        <f t="shared" ref="J58:K58" si="47">+J59</f>
        <v>0</v>
      </c>
      <c r="K58" s="10">
        <f t="shared" si="47"/>
        <v>74.599999999999994</v>
      </c>
    </row>
    <row r="59" spans="1:11" ht="13.5" customHeight="1" x14ac:dyDescent="0.2">
      <c r="A59" s="11" t="s">
        <v>96</v>
      </c>
      <c r="B59" s="12" t="s">
        <v>55</v>
      </c>
      <c r="C59" s="9">
        <f t="shared" si="3"/>
        <v>616.30000000000007</v>
      </c>
      <c r="D59" s="10"/>
      <c r="E59" s="10"/>
      <c r="F59" s="10">
        <f>532.4-31.4</f>
        <v>501</v>
      </c>
      <c r="G59" s="10">
        <v>40.700000000000003</v>
      </c>
      <c r="H59" s="10"/>
      <c r="I59" s="10"/>
      <c r="J59" s="10"/>
      <c r="K59" s="10">
        <v>74.599999999999994</v>
      </c>
    </row>
    <row r="60" spans="1:11" ht="13.5" customHeight="1" x14ac:dyDescent="0.2">
      <c r="A60" s="7">
        <v>25</v>
      </c>
      <c r="B60" s="8" t="s">
        <v>24</v>
      </c>
      <c r="C60" s="9">
        <f>+C61</f>
        <v>1668.6000000000001</v>
      </c>
      <c r="D60" s="10">
        <f t="shared" ref="D60:H60" si="48">+D61</f>
        <v>0</v>
      </c>
      <c r="E60" s="10">
        <f t="shared" si="48"/>
        <v>61.7</v>
      </c>
      <c r="F60" s="9">
        <f t="shared" si="48"/>
        <v>1280.2</v>
      </c>
      <c r="G60" s="10">
        <f t="shared" si="48"/>
        <v>187.7</v>
      </c>
      <c r="H60" s="10">
        <f t="shared" si="48"/>
        <v>0</v>
      </c>
      <c r="I60" s="10"/>
      <c r="J60" s="10">
        <f t="shared" ref="J60:K60" si="49">+J61</f>
        <v>0</v>
      </c>
      <c r="K60" s="10">
        <f t="shared" si="49"/>
        <v>139</v>
      </c>
    </row>
    <row r="61" spans="1:11" ht="13.5" customHeight="1" x14ac:dyDescent="0.2">
      <c r="A61" s="11" t="s">
        <v>97</v>
      </c>
      <c r="B61" s="12" t="s">
        <v>55</v>
      </c>
      <c r="C61" s="9">
        <f t="shared" si="3"/>
        <v>1668.6000000000001</v>
      </c>
      <c r="D61" s="10"/>
      <c r="E61" s="10">
        <f>41.2+20.5</f>
        <v>61.7</v>
      </c>
      <c r="F61" s="9">
        <f>1430.8-130.1-20.5</f>
        <v>1280.2</v>
      </c>
      <c r="G61" s="10">
        <v>187.7</v>
      </c>
      <c r="H61" s="10"/>
      <c r="I61" s="10"/>
      <c r="J61" s="10"/>
      <c r="K61" s="10">
        <v>139</v>
      </c>
    </row>
    <row r="62" spans="1:11" ht="13.5" customHeight="1" x14ac:dyDescent="0.2">
      <c r="A62" s="7">
        <v>26</v>
      </c>
      <c r="B62" s="8" t="s">
        <v>25</v>
      </c>
      <c r="C62" s="9">
        <f>+C63</f>
        <v>1198.3999999999999</v>
      </c>
      <c r="D62" s="10">
        <f t="shared" ref="D62:H62" si="50">+D63</f>
        <v>0</v>
      </c>
      <c r="E62" s="10">
        <f t="shared" si="50"/>
        <v>566.70000000000005</v>
      </c>
      <c r="F62" s="10">
        <f t="shared" si="50"/>
        <v>204.5</v>
      </c>
      <c r="G62" s="10">
        <f t="shared" si="50"/>
        <v>411.59999999999997</v>
      </c>
      <c r="H62" s="10">
        <f t="shared" si="50"/>
        <v>0</v>
      </c>
      <c r="I62" s="10"/>
      <c r="J62" s="10">
        <f t="shared" ref="J62:K62" si="51">+J63</f>
        <v>0</v>
      </c>
      <c r="K62" s="10">
        <f t="shared" si="51"/>
        <v>15.6</v>
      </c>
    </row>
    <row r="63" spans="1:11" ht="13.5" customHeight="1" x14ac:dyDescent="0.2">
      <c r="A63" s="11" t="s">
        <v>98</v>
      </c>
      <c r="B63" s="12" t="s">
        <v>55</v>
      </c>
      <c r="C63" s="9">
        <f t="shared" si="3"/>
        <v>1198.3999999999999</v>
      </c>
      <c r="D63" s="10"/>
      <c r="E63" s="10">
        <f>1077.4-510.7</f>
        <v>566.70000000000005</v>
      </c>
      <c r="F63" s="10">
        <v>204.5</v>
      </c>
      <c r="G63" s="10">
        <f>353.4+58.2</f>
        <v>411.59999999999997</v>
      </c>
      <c r="H63" s="10"/>
      <c r="I63" s="10"/>
      <c r="J63" s="10"/>
      <c r="K63" s="10">
        <v>15.6</v>
      </c>
    </row>
    <row r="64" spans="1:11" ht="13.5" customHeight="1" x14ac:dyDescent="0.2">
      <c r="A64" s="7">
        <v>27</v>
      </c>
      <c r="B64" s="8" t="s">
        <v>26</v>
      </c>
      <c r="C64" s="9">
        <f>+C65</f>
        <v>1692.8</v>
      </c>
      <c r="D64" s="10">
        <f t="shared" ref="D64:H64" si="52">+D65</f>
        <v>0</v>
      </c>
      <c r="E64" s="10">
        <f t="shared" si="52"/>
        <v>46.8</v>
      </c>
      <c r="F64" s="10">
        <f t="shared" si="52"/>
        <v>1407.1</v>
      </c>
      <c r="G64" s="10">
        <f t="shared" si="52"/>
        <v>31</v>
      </c>
      <c r="H64" s="10">
        <f t="shared" si="52"/>
        <v>0</v>
      </c>
      <c r="I64" s="10"/>
      <c r="J64" s="10">
        <f t="shared" ref="J64:K64" si="53">+J65</f>
        <v>0</v>
      </c>
      <c r="K64" s="10">
        <f t="shared" si="53"/>
        <v>207.9</v>
      </c>
    </row>
    <row r="65" spans="1:11" ht="13.5" customHeight="1" x14ac:dyDescent="0.2">
      <c r="A65" s="11" t="s">
        <v>99</v>
      </c>
      <c r="B65" s="12" t="s">
        <v>55</v>
      </c>
      <c r="C65" s="9">
        <f t="shared" si="3"/>
        <v>1692.8</v>
      </c>
      <c r="D65" s="10"/>
      <c r="E65" s="10">
        <f>82.3-35.5</f>
        <v>46.8</v>
      </c>
      <c r="F65" s="10">
        <f>1427.6-56+35.5</f>
        <v>1407.1</v>
      </c>
      <c r="G65" s="10">
        <v>31</v>
      </c>
      <c r="H65" s="10"/>
      <c r="I65" s="10"/>
      <c r="J65" s="10"/>
      <c r="K65" s="10">
        <v>207.9</v>
      </c>
    </row>
    <row r="66" spans="1:11" ht="13.5" customHeight="1" x14ac:dyDescent="0.2">
      <c r="A66" s="7">
        <v>28</v>
      </c>
      <c r="B66" s="8" t="s">
        <v>27</v>
      </c>
      <c r="C66" s="9">
        <f>+C67</f>
        <v>2210.8000000000002</v>
      </c>
      <c r="D66" s="10">
        <f t="shared" ref="D66:H66" si="54">+D67</f>
        <v>0</v>
      </c>
      <c r="E66" s="10">
        <f t="shared" si="54"/>
        <v>0</v>
      </c>
      <c r="F66" s="9">
        <f t="shared" si="54"/>
        <v>1958.3</v>
      </c>
      <c r="G66" s="10">
        <f t="shared" si="54"/>
        <v>157.5</v>
      </c>
      <c r="H66" s="10">
        <f t="shared" si="54"/>
        <v>0</v>
      </c>
      <c r="I66" s="10"/>
      <c r="J66" s="10">
        <f t="shared" ref="J66:K66" si="55">+J67</f>
        <v>0</v>
      </c>
      <c r="K66" s="10">
        <f t="shared" si="55"/>
        <v>95</v>
      </c>
    </row>
    <row r="67" spans="1:11" ht="13.5" customHeight="1" x14ac:dyDescent="0.2">
      <c r="A67" s="11" t="s">
        <v>101</v>
      </c>
      <c r="B67" s="12" t="s">
        <v>55</v>
      </c>
      <c r="C67" s="9">
        <f t="shared" si="3"/>
        <v>2210.8000000000002</v>
      </c>
      <c r="D67" s="10"/>
      <c r="E67" s="10"/>
      <c r="F67" s="9">
        <v>1958.3</v>
      </c>
      <c r="G67" s="10">
        <f>150+7.5</f>
        <v>157.5</v>
      </c>
      <c r="H67" s="10"/>
      <c r="I67" s="10"/>
      <c r="J67" s="10"/>
      <c r="K67" s="10">
        <f>80+5+10</f>
        <v>95</v>
      </c>
    </row>
    <row r="68" spans="1:11" ht="13.5" customHeight="1" x14ac:dyDescent="0.2">
      <c r="A68" s="7">
        <v>29</v>
      </c>
      <c r="B68" s="14" t="s">
        <v>28</v>
      </c>
      <c r="C68" s="9">
        <f>+C69</f>
        <v>446.59999999999997</v>
      </c>
      <c r="D68" s="10">
        <f t="shared" ref="D68:H68" si="56">+D69</f>
        <v>0</v>
      </c>
      <c r="E68" s="10">
        <f t="shared" si="56"/>
        <v>0</v>
      </c>
      <c r="F68" s="10">
        <f t="shared" si="56"/>
        <v>439.9</v>
      </c>
      <c r="G68" s="10">
        <f t="shared" si="56"/>
        <v>0</v>
      </c>
      <c r="H68" s="10">
        <f t="shared" si="56"/>
        <v>0</v>
      </c>
      <c r="I68" s="10"/>
      <c r="J68" s="10">
        <f t="shared" ref="J68:K68" si="57">+J69</f>
        <v>0</v>
      </c>
      <c r="K68" s="10">
        <f t="shared" si="57"/>
        <v>6.7</v>
      </c>
    </row>
    <row r="69" spans="1:11" ht="13.5" customHeight="1" x14ac:dyDescent="0.2">
      <c r="A69" s="11" t="s">
        <v>102</v>
      </c>
      <c r="B69" s="12" t="s">
        <v>55</v>
      </c>
      <c r="C69" s="9">
        <f t="shared" si="3"/>
        <v>446.59999999999997</v>
      </c>
      <c r="D69" s="10"/>
      <c r="E69" s="10"/>
      <c r="F69" s="10">
        <v>439.9</v>
      </c>
      <c r="G69" s="10"/>
      <c r="H69" s="10"/>
      <c r="I69" s="10"/>
      <c r="J69" s="10"/>
      <c r="K69" s="10">
        <v>6.7</v>
      </c>
    </row>
    <row r="70" spans="1:11" ht="13.5" customHeight="1" x14ac:dyDescent="0.2">
      <c r="A70" s="7">
        <v>30</v>
      </c>
      <c r="B70" s="8" t="s">
        <v>29</v>
      </c>
      <c r="C70" s="9">
        <f>+C71</f>
        <v>343.20000000000005</v>
      </c>
      <c r="D70" s="10">
        <f t="shared" ref="D70:H70" si="58">+D71</f>
        <v>0</v>
      </c>
      <c r="E70" s="10">
        <f t="shared" si="58"/>
        <v>0</v>
      </c>
      <c r="F70" s="10">
        <f t="shared" si="58"/>
        <v>338.6</v>
      </c>
      <c r="G70" s="10">
        <f t="shared" si="58"/>
        <v>0</v>
      </c>
      <c r="H70" s="10">
        <f t="shared" si="58"/>
        <v>0</v>
      </c>
      <c r="I70" s="10"/>
      <c r="J70" s="10">
        <f t="shared" ref="J70:K70" si="59">+J71</f>
        <v>0</v>
      </c>
      <c r="K70" s="10">
        <f t="shared" si="59"/>
        <v>4.5999999999999996</v>
      </c>
    </row>
    <row r="71" spans="1:11" ht="13.5" customHeight="1" x14ac:dyDescent="0.2">
      <c r="A71" s="11" t="s">
        <v>103</v>
      </c>
      <c r="B71" s="12" t="s">
        <v>55</v>
      </c>
      <c r="C71" s="9">
        <f t="shared" si="3"/>
        <v>343.20000000000005</v>
      </c>
      <c r="D71" s="10"/>
      <c r="E71" s="10"/>
      <c r="F71" s="10">
        <v>338.6</v>
      </c>
      <c r="G71" s="10"/>
      <c r="H71" s="10"/>
      <c r="I71" s="10"/>
      <c r="J71" s="10"/>
      <c r="K71" s="10">
        <f>2.7+1.9</f>
        <v>4.5999999999999996</v>
      </c>
    </row>
    <row r="72" spans="1:11" ht="13.5" customHeight="1" x14ac:dyDescent="0.2">
      <c r="A72" s="7">
        <v>31</v>
      </c>
      <c r="B72" s="8" t="s">
        <v>30</v>
      </c>
      <c r="C72" s="9">
        <f>+C73</f>
        <v>348.09999999999997</v>
      </c>
      <c r="D72" s="10">
        <f t="shared" ref="D72:H72" si="60">+D73</f>
        <v>0</v>
      </c>
      <c r="E72" s="10">
        <f t="shared" si="60"/>
        <v>0</v>
      </c>
      <c r="F72" s="10">
        <f t="shared" si="60"/>
        <v>343.2</v>
      </c>
      <c r="G72" s="10">
        <f t="shared" si="60"/>
        <v>0</v>
      </c>
      <c r="H72" s="10">
        <f t="shared" si="60"/>
        <v>0</v>
      </c>
      <c r="I72" s="10"/>
      <c r="J72" s="10">
        <f t="shared" ref="J72:K72" si="61">+J73</f>
        <v>0</v>
      </c>
      <c r="K72" s="10">
        <f t="shared" si="61"/>
        <v>4.9000000000000004</v>
      </c>
    </row>
    <row r="73" spans="1:11" ht="13.5" customHeight="1" x14ac:dyDescent="0.2">
      <c r="A73" s="11" t="s">
        <v>104</v>
      </c>
      <c r="B73" s="12" t="s">
        <v>55</v>
      </c>
      <c r="C73" s="9">
        <f t="shared" si="3"/>
        <v>348.09999999999997</v>
      </c>
      <c r="D73" s="10"/>
      <c r="E73" s="10"/>
      <c r="F73" s="10">
        <v>343.2</v>
      </c>
      <c r="G73" s="10"/>
      <c r="H73" s="10"/>
      <c r="I73" s="10"/>
      <c r="J73" s="10"/>
      <c r="K73" s="10">
        <v>4.9000000000000004</v>
      </c>
    </row>
    <row r="74" spans="1:11" ht="13.5" customHeight="1" x14ac:dyDescent="0.2">
      <c r="A74" s="7">
        <v>32</v>
      </c>
      <c r="B74" s="8" t="s">
        <v>31</v>
      </c>
      <c r="C74" s="9">
        <f>+C75</f>
        <v>251.79999999999998</v>
      </c>
      <c r="D74" s="10">
        <f t="shared" ref="D74:H74" si="62">+D75</f>
        <v>0</v>
      </c>
      <c r="E74" s="10">
        <f t="shared" si="62"/>
        <v>0</v>
      </c>
      <c r="F74" s="10">
        <f t="shared" si="62"/>
        <v>250.6</v>
      </c>
      <c r="G74" s="10">
        <f t="shared" si="62"/>
        <v>0</v>
      </c>
      <c r="H74" s="10">
        <f t="shared" si="62"/>
        <v>0</v>
      </c>
      <c r="I74" s="10"/>
      <c r="J74" s="10">
        <f t="shared" ref="J74:K74" si="63">+J75</f>
        <v>0</v>
      </c>
      <c r="K74" s="10">
        <f t="shared" si="63"/>
        <v>1.2</v>
      </c>
    </row>
    <row r="75" spans="1:11" ht="13.5" customHeight="1" x14ac:dyDescent="0.2">
      <c r="A75" s="11" t="s">
        <v>105</v>
      </c>
      <c r="B75" s="12" t="s">
        <v>55</v>
      </c>
      <c r="C75" s="9">
        <f t="shared" si="3"/>
        <v>251.79999999999998</v>
      </c>
      <c r="D75" s="10"/>
      <c r="E75" s="10"/>
      <c r="F75" s="10">
        <v>250.6</v>
      </c>
      <c r="G75" s="10"/>
      <c r="H75" s="10"/>
      <c r="I75" s="10"/>
      <c r="J75" s="10"/>
      <c r="K75" s="10">
        <v>1.2</v>
      </c>
    </row>
    <row r="76" spans="1:11" ht="13.5" customHeight="1" x14ac:dyDescent="0.2">
      <c r="A76" s="7">
        <v>33</v>
      </c>
      <c r="B76" s="8" t="s">
        <v>32</v>
      </c>
      <c r="C76" s="9">
        <f>+C77</f>
        <v>181.1</v>
      </c>
      <c r="D76" s="10">
        <f t="shared" ref="D76:H76" si="64">+D77</f>
        <v>0</v>
      </c>
      <c r="E76" s="10">
        <f t="shared" si="64"/>
        <v>0</v>
      </c>
      <c r="F76" s="10">
        <f t="shared" si="64"/>
        <v>179.5</v>
      </c>
      <c r="G76" s="10">
        <f t="shared" si="64"/>
        <v>0</v>
      </c>
      <c r="H76" s="10">
        <f t="shared" si="64"/>
        <v>0</v>
      </c>
      <c r="I76" s="10"/>
      <c r="J76" s="10">
        <f t="shared" ref="J76:K76" si="65">+J77</f>
        <v>0</v>
      </c>
      <c r="K76" s="10">
        <f t="shared" si="65"/>
        <v>1.6</v>
      </c>
    </row>
    <row r="77" spans="1:11" ht="13.5" customHeight="1" x14ac:dyDescent="0.2">
      <c r="A77" s="11" t="s">
        <v>106</v>
      </c>
      <c r="B77" s="12" t="s">
        <v>55</v>
      </c>
      <c r="C77" s="9">
        <f>+D77+E77+F77+G77+H77+J77+K77</f>
        <v>181.1</v>
      </c>
      <c r="D77" s="10"/>
      <c r="E77" s="10"/>
      <c r="F77" s="10">
        <f>172.6+6.9</f>
        <v>179.5</v>
      </c>
      <c r="G77" s="10"/>
      <c r="H77" s="10"/>
      <c r="I77" s="10"/>
      <c r="J77" s="10"/>
      <c r="K77" s="10">
        <v>1.6</v>
      </c>
    </row>
    <row r="78" spans="1:11" ht="25.5" x14ac:dyDescent="0.2">
      <c r="A78" s="7">
        <v>34</v>
      </c>
      <c r="B78" s="13" t="s">
        <v>33</v>
      </c>
      <c r="C78" s="9">
        <f>+C79</f>
        <v>1785.7</v>
      </c>
      <c r="D78" s="10">
        <f t="shared" ref="D78:H78" si="66">+D79</f>
        <v>0</v>
      </c>
      <c r="E78" s="10">
        <f t="shared" si="66"/>
        <v>0</v>
      </c>
      <c r="F78" s="9">
        <f t="shared" si="66"/>
        <v>1711.9</v>
      </c>
      <c r="G78" s="10">
        <f t="shared" si="66"/>
        <v>61.1</v>
      </c>
      <c r="H78" s="10">
        <f t="shared" si="66"/>
        <v>0</v>
      </c>
      <c r="I78" s="10"/>
      <c r="J78" s="10">
        <f t="shared" ref="J78:K78" si="67">+J79</f>
        <v>0</v>
      </c>
      <c r="K78" s="10">
        <f t="shared" si="67"/>
        <v>12.7</v>
      </c>
    </row>
    <row r="79" spans="1:11" ht="13.5" customHeight="1" x14ac:dyDescent="0.2">
      <c r="A79" s="11" t="s">
        <v>107</v>
      </c>
      <c r="B79" s="12" t="s">
        <v>55</v>
      </c>
      <c r="C79" s="9">
        <f>+D79+E79+F79+G79+H79+J79+K79</f>
        <v>1785.7</v>
      </c>
      <c r="D79" s="10"/>
      <c r="E79" s="10"/>
      <c r="F79" s="9">
        <v>1711.9</v>
      </c>
      <c r="G79" s="10">
        <f>55.6+5.5</f>
        <v>61.1</v>
      </c>
      <c r="H79" s="10"/>
      <c r="I79" s="10"/>
      <c r="J79" s="10"/>
      <c r="K79" s="10">
        <v>12.7</v>
      </c>
    </row>
    <row r="80" spans="1:11" ht="13.5" customHeight="1" x14ac:dyDescent="0.2">
      <c r="A80" s="7">
        <v>35</v>
      </c>
      <c r="B80" s="8" t="s">
        <v>34</v>
      </c>
      <c r="C80" s="9">
        <f>+C81</f>
        <v>1020.6</v>
      </c>
      <c r="D80" s="10">
        <f t="shared" ref="D80:I80" si="68">+D81</f>
        <v>0</v>
      </c>
      <c r="E80" s="10">
        <f t="shared" si="68"/>
        <v>0</v>
      </c>
      <c r="F80" s="10">
        <f t="shared" si="68"/>
        <v>916.4</v>
      </c>
      <c r="G80" s="10">
        <f t="shared" si="68"/>
        <v>39.5</v>
      </c>
      <c r="H80" s="10">
        <f t="shared" si="68"/>
        <v>0</v>
      </c>
      <c r="I80" s="10">
        <f t="shared" si="68"/>
        <v>0</v>
      </c>
      <c r="J80" s="10">
        <f t="shared" ref="J80:K80" si="69">+J81</f>
        <v>0</v>
      </c>
      <c r="K80" s="10">
        <f t="shared" si="69"/>
        <v>64.7</v>
      </c>
    </row>
    <row r="81" spans="1:11" ht="13.5" customHeight="1" x14ac:dyDescent="0.2">
      <c r="A81" s="11" t="s">
        <v>108</v>
      </c>
      <c r="B81" s="12" t="s">
        <v>55</v>
      </c>
      <c r="C81" s="9">
        <f>+D81+E81+F81+G81+H81+J81+K81+I81</f>
        <v>1020.6</v>
      </c>
      <c r="D81" s="10"/>
      <c r="E81" s="10"/>
      <c r="F81" s="10">
        <v>916.4</v>
      </c>
      <c r="G81" s="10">
        <v>39.5</v>
      </c>
      <c r="H81" s="10"/>
      <c r="I81" s="10"/>
      <c r="J81" s="10"/>
      <c r="K81" s="10">
        <f>64.2+0.5</f>
        <v>64.7</v>
      </c>
    </row>
    <row r="82" spans="1:11" ht="25.5" x14ac:dyDescent="0.2">
      <c r="A82" s="7">
        <v>36</v>
      </c>
      <c r="B82" s="13" t="s">
        <v>35</v>
      </c>
      <c r="C82" s="9">
        <f>+C83</f>
        <v>1696.6</v>
      </c>
      <c r="D82" s="10">
        <f t="shared" ref="D82:H82" si="70">+D83</f>
        <v>1605</v>
      </c>
      <c r="E82" s="10">
        <f t="shared" si="70"/>
        <v>0</v>
      </c>
      <c r="F82" s="10">
        <f t="shared" si="70"/>
        <v>90</v>
      </c>
      <c r="G82" s="10">
        <f t="shared" si="70"/>
        <v>0</v>
      </c>
      <c r="H82" s="10">
        <f t="shared" si="70"/>
        <v>0</v>
      </c>
      <c r="I82" s="10"/>
      <c r="J82" s="10">
        <f t="shared" ref="J82:K82" si="71">+J83</f>
        <v>0</v>
      </c>
      <c r="K82" s="10">
        <f t="shared" si="71"/>
        <v>1.6</v>
      </c>
    </row>
    <row r="83" spans="1:11" ht="13.5" customHeight="1" x14ac:dyDescent="0.2">
      <c r="A83" s="11" t="s">
        <v>109</v>
      </c>
      <c r="B83" s="12" t="s">
        <v>56</v>
      </c>
      <c r="C83" s="9">
        <f>+D83+E83+F83+G83+H83+J83+K83</f>
        <v>1696.6</v>
      </c>
      <c r="D83" s="10">
        <f>1578+27</f>
        <v>1605</v>
      </c>
      <c r="E83" s="10"/>
      <c r="F83" s="10">
        <v>90</v>
      </c>
      <c r="G83" s="10"/>
      <c r="H83" s="10"/>
      <c r="I83" s="10"/>
      <c r="J83" s="10"/>
      <c r="K83" s="10">
        <v>1.6</v>
      </c>
    </row>
    <row r="84" spans="1:11" ht="13.5" customHeight="1" x14ac:dyDescent="0.2">
      <c r="A84" s="7">
        <v>37</v>
      </c>
      <c r="B84" s="15" t="s">
        <v>36</v>
      </c>
      <c r="C84" s="9">
        <f>+C85</f>
        <v>2749.9</v>
      </c>
      <c r="D84" s="10">
        <f t="shared" ref="D84:I84" si="72">+D85</f>
        <v>510</v>
      </c>
      <c r="E84" s="10">
        <f t="shared" si="72"/>
        <v>0</v>
      </c>
      <c r="F84" s="9">
        <f t="shared" si="72"/>
        <v>2000.1</v>
      </c>
      <c r="G84" s="10">
        <f t="shared" si="72"/>
        <v>38.299999999999997</v>
      </c>
      <c r="H84" s="10">
        <f t="shared" si="72"/>
        <v>0</v>
      </c>
      <c r="I84" s="10">
        <f t="shared" si="72"/>
        <v>0</v>
      </c>
      <c r="J84" s="10">
        <f t="shared" ref="J84:K84" si="73">+J85</f>
        <v>0</v>
      </c>
      <c r="K84" s="10">
        <f t="shared" si="73"/>
        <v>201.5</v>
      </c>
    </row>
    <row r="85" spans="1:11" ht="13.5" customHeight="1" x14ac:dyDescent="0.2">
      <c r="A85" s="11" t="s">
        <v>110</v>
      </c>
      <c r="B85" s="12" t="s">
        <v>56</v>
      </c>
      <c r="C85" s="9">
        <f>+D85+E85+F85+G85+H85+J85+K85+I85</f>
        <v>2749.9</v>
      </c>
      <c r="D85" s="10">
        <f>465+45</f>
        <v>510</v>
      </c>
      <c r="E85" s="10"/>
      <c r="F85" s="9">
        <v>2000.1</v>
      </c>
      <c r="G85" s="10">
        <f>20.5+17.8</f>
        <v>38.299999999999997</v>
      </c>
      <c r="H85" s="10"/>
      <c r="I85" s="10"/>
      <c r="J85" s="10"/>
      <c r="K85" s="10">
        <v>201.5</v>
      </c>
    </row>
    <row r="86" spans="1:11" ht="13.5" customHeight="1" x14ac:dyDescent="0.2">
      <c r="A86" s="7">
        <v>38</v>
      </c>
      <c r="B86" s="8" t="s">
        <v>37</v>
      </c>
      <c r="C86" s="9">
        <f>+C87</f>
        <v>1175.0999999999999</v>
      </c>
      <c r="D86" s="10">
        <f t="shared" ref="D86:H86" si="74">+D87</f>
        <v>260</v>
      </c>
      <c r="E86" s="10">
        <f t="shared" si="74"/>
        <v>0</v>
      </c>
      <c r="F86" s="10">
        <f t="shared" si="74"/>
        <v>222.3</v>
      </c>
      <c r="G86" s="10">
        <f t="shared" si="74"/>
        <v>6.3</v>
      </c>
      <c r="H86" s="10">
        <f t="shared" si="74"/>
        <v>0</v>
      </c>
      <c r="I86" s="10"/>
      <c r="J86" s="10">
        <f t="shared" ref="J86:K86" si="75">+J87</f>
        <v>0</v>
      </c>
      <c r="K86" s="10">
        <f t="shared" si="75"/>
        <v>686.5</v>
      </c>
    </row>
    <row r="87" spans="1:11" ht="13.5" customHeight="1" x14ac:dyDescent="0.2">
      <c r="A87" s="11" t="s">
        <v>111</v>
      </c>
      <c r="B87" s="12" t="s">
        <v>56</v>
      </c>
      <c r="C87" s="9">
        <f>+D87+E87+F87+G87+H87+J87+K87</f>
        <v>1175.0999999999999</v>
      </c>
      <c r="D87" s="10">
        <f>240+20</f>
        <v>260</v>
      </c>
      <c r="E87" s="10"/>
      <c r="F87" s="10">
        <v>222.3</v>
      </c>
      <c r="G87" s="10">
        <f>3+3.3</f>
        <v>6.3</v>
      </c>
      <c r="H87" s="10"/>
      <c r="I87" s="10"/>
      <c r="J87" s="10"/>
      <c r="K87" s="10">
        <v>686.5</v>
      </c>
    </row>
    <row r="88" spans="1:11" ht="13.5" customHeight="1" x14ac:dyDescent="0.2">
      <c r="A88" s="7">
        <v>39</v>
      </c>
      <c r="B88" s="8" t="s">
        <v>38</v>
      </c>
      <c r="C88" s="9">
        <f>+C89+C90</f>
        <v>1642.2</v>
      </c>
      <c r="D88" s="10">
        <f t="shared" ref="D88:K88" si="76">+D89+D90</f>
        <v>195</v>
      </c>
      <c r="E88" s="10">
        <f t="shared" si="76"/>
        <v>200.9</v>
      </c>
      <c r="F88" s="10">
        <f t="shared" si="76"/>
        <v>624.79999999999995</v>
      </c>
      <c r="G88" s="10">
        <f t="shared" si="76"/>
        <v>16.5</v>
      </c>
      <c r="H88" s="10">
        <f t="shared" si="76"/>
        <v>0</v>
      </c>
      <c r="I88" s="10"/>
      <c r="J88" s="10">
        <f t="shared" si="76"/>
        <v>0</v>
      </c>
      <c r="K88" s="10">
        <f t="shared" si="76"/>
        <v>605</v>
      </c>
    </row>
    <row r="89" spans="1:11" ht="13.5" customHeight="1" x14ac:dyDescent="0.2">
      <c r="A89" s="11" t="s">
        <v>113</v>
      </c>
      <c r="B89" s="12" t="s">
        <v>55</v>
      </c>
      <c r="C89" s="9">
        <f>+D89+E89+F89+G89+H89+J89+K89</f>
        <v>490.70000000000005</v>
      </c>
      <c r="D89" s="10"/>
      <c r="E89" s="10">
        <f>194.9+6</f>
        <v>200.9</v>
      </c>
      <c r="F89" s="10">
        <f>261.3-3</f>
        <v>258.3</v>
      </c>
      <c r="G89" s="10">
        <v>4.5</v>
      </c>
      <c r="H89" s="10"/>
      <c r="I89" s="10"/>
      <c r="J89" s="10"/>
      <c r="K89" s="10">
        <v>27</v>
      </c>
    </row>
    <row r="90" spans="1:11" ht="13.5" customHeight="1" x14ac:dyDescent="0.2">
      <c r="A90" s="11" t="s">
        <v>114</v>
      </c>
      <c r="B90" s="12" t="s">
        <v>56</v>
      </c>
      <c r="C90" s="9">
        <f>+D90+E90+F90+G90+H90+J90+K90</f>
        <v>1151.5</v>
      </c>
      <c r="D90" s="10">
        <f>175+20</f>
        <v>195</v>
      </c>
      <c r="E90" s="10"/>
      <c r="F90" s="10">
        <v>366.5</v>
      </c>
      <c r="G90" s="10">
        <f>10.1+1.9</f>
        <v>12</v>
      </c>
      <c r="H90" s="10"/>
      <c r="I90" s="10"/>
      <c r="J90" s="10"/>
      <c r="K90" s="10">
        <v>578</v>
      </c>
    </row>
    <row r="91" spans="1:11" ht="13.5" customHeight="1" x14ac:dyDescent="0.2">
      <c r="A91" s="7">
        <v>40</v>
      </c>
      <c r="B91" s="8" t="s">
        <v>222</v>
      </c>
      <c r="C91" s="9">
        <f>+C92+C93</f>
        <v>1516.4</v>
      </c>
      <c r="D91" s="10">
        <f t="shared" ref="D91:H91" si="77">+D92+D93</f>
        <v>285</v>
      </c>
      <c r="E91" s="10">
        <f t="shared" si="77"/>
        <v>99.600000000000009</v>
      </c>
      <c r="F91" s="10">
        <f t="shared" si="77"/>
        <v>550.1</v>
      </c>
      <c r="G91" s="10">
        <f t="shared" si="77"/>
        <v>12</v>
      </c>
      <c r="H91" s="10">
        <f t="shared" si="77"/>
        <v>0</v>
      </c>
      <c r="I91" s="10"/>
      <c r="J91" s="10">
        <f t="shared" ref="J91:K91" si="78">+J92+J93</f>
        <v>0</v>
      </c>
      <c r="K91" s="10">
        <f t="shared" si="78"/>
        <v>569.70000000000005</v>
      </c>
    </row>
    <row r="92" spans="1:11" ht="13.5" customHeight="1" x14ac:dyDescent="0.2">
      <c r="A92" s="11" t="s">
        <v>115</v>
      </c>
      <c r="B92" s="12" t="s">
        <v>55</v>
      </c>
      <c r="C92" s="9">
        <f>+D92+E92+F92+G92+H92+J92+K92</f>
        <v>222.20000000000002</v>
      </c>
      <c r="D92" s="10"/>
      <c r="E92" s="10">
        <f>137.4-37.8</f>
        <v>99.600000000000009</v>
      </c>
      <c r="F92" s="10">
        <f>172-2.2-58.7</f>
        <v>111.10000000000001</v>
      </c>
      <c r="G92" s="10">
        <f>3.2-0.7</f>
        <v>2.5</v>
      </c>
      <c r="H92" s="10"/>
      <c r="I92" s="10"/>
      <c r="J92" s="10"/>
      <c r="K92" s="10">
        <f>11.6-2.6</f>
        <v>9</v>
      </c>
    </row>
    <row r="93" spans="1:11" ht="13.5" customHeight="1" x14ac:dyDescent="0.2">
      <c r="A93" s="11" t="s">
        <v>116</v>
      </c>
      <c r="B93" s="12" t="s">
        <v>56</v>
      </c>
      <c r="C93" s="9">
        <f>+D93+E93+F93+G93+H93+J93+K93</f>
        <v>1294.2</v>
      </c>
      <c r="D93" s="10">
        <f>265+20</f>
        <v>285</v>
      </c>
      <c r="E93" s="10"/>
      <c r="F93" s="10">
        <f>402.6+36.4</f>
        <v>439</v>
      </c>
      <c r="G93" s="10">
        <v>9.5</v>
      </c>
      <c r="H93" s="10"/>
      <c r="I93" s="10"/>
      <c r="J93" s="10"/>
      <c r="K93" s="10">
        <v>560.70000000000005</v>
      </c>
    </row>
    <row r="94" spans="1:11" ht="13.5" customHeight="1" x14ac:dyDescent="0.2">
      <c r="A94" s="7">
        <v>41</v>
      </c>
      <c r="B94" s="8" t="s">
        <v>39</v>
      </c>
      <c r="C94" s="9">
        <f>+C95</f>
        <v>2993.9</v>
      </c>
      <c r="D94" s="9">
        <f t="shared" ref="D94:H94" si="79">+D95</f>
        <v>944.1</v>
      </c>
      <c r="E94" s="10">
        <f t="shared" si="79"/>
        <v>0</v>
      </c>
      <c r="F94" s="9">
        <f t="shared" si="79"/>
        <v>1910.8</v>
      </c>
      <c r="G94" s="10">
        <f t="shared" si="79"/>
        <v>120.60000000000001</v>
      </c>
      <c r="H94" s="10">
        <f t="shared" si="79"/>
        <v>0</v>
      </c>
      <c r="I94" s="10"/>
      <c r="J94" s="10">
        <f t="shared" ref="J94:K94" si="80">+J95</f>
        <v>0</v>
      </c>
      <c r="K94" s="10">
        <f t="shared" si="80"/>
        <v>18.399999999999999</v>
      </c>
    </row>
    <row r="95" spans="1:11" ht="13.5" customHeight="1" x14ac:dyDescent="0.2">
      <c r="A95" s="11" t="s">
        <v>100</v>
      </c>
      <c r="B95" s="12" t="s">
        <v>56</v>
      </c>
      <c r="C95" s="9">
        <f>+D95+E95+F95+G95+H95+J95+K95</f>
        <v>2993.9</v>
      </c>
      <c r="D95" s="9">
        <f>851.5+96-3.4</f>
        <v>944.1</v>
      </c>
      <c r="E95" s="10"/>
      <c r="F95" s="9">
        <v>1910.8</v>
      </c>
      <c r="G95" s="10">
        <f>26.4+67.4+25.3+1.5</f>
        <v>120.60000000000001</v>
      </c>
      <c r="H95" s="10"/>
      <c r="I95" s="10"/>
      <c r="J95" s="10"/>
      <c r="K95" s="10">
        <v>18.399999999999999</v>
      </c>
    </row>
    <row r="96" spans="1:11" ht="25.5" x14ac:dyDescent="0.2">
      <c r="A96" s="7">
        <v>42</v>
      </c>
      <c r="B96" s="13" t="s">
        <v>40</v>
      </c>
      <c r="C96" s="9">
        <f>+C97</f>
        <v>686.40000000000009</v>
      </c>
      <c r="D96" s="10">
        <f t="shared" ref="D96:I96" si="81">+D97</f>
        <v>525.6</v>
      </c>
      <c r="E96" s="10">
        <f t="shared" si="81"/>
        <v>0</v>
      </c>
      <c r="F96" s="10">
        <f t="shared" si="81"/>
        <v>153.30000000000001</v>
      </c>
      <c r="G96" s="10">
        <f t="shared" si="81"/>
        <v>0</v>
      </c>
      <c r="H96" s="10">
        <f t="shared" si="81"/>
        <v>0</v>
      </c>
      <c r="I96" s="10">
        <f t="shared" si="81"/>
        <v>0</v>
      </c>
      <c r="J96" s="10">
        <f t="shared" ref="J96:K96" si="82">+J97</f>
        <v>0</v>
      </c>
      <c r="K96" s="10">
        <f t="shared" si="82"/>
        <v>7.5</v>
      </c>
    </row>
    <row r="97" spans="1:11" ht="13.5" customHeight="1" x14ac:dyDescent="0.2">
      <c r="A97" s="11" t="s">
        <v>117</v>
      </c>
      <c r="B97" s="12" t="s">
        <v>56</v>
      </c>
      <c r="C97" s="9">
        <f>+D97+E97+F97+G97+H97+J97+K97+I97</f>
        <v>686.40000000000009</v>
      </c>
      <c r="D97" s="10">
        <v>525.6</v>
      </c>
      <c r="E97" s="10"/>
      <c r="F97" s="10">
        <f>159.9-6.6</f>
        <v>153.30000000000001</v>
      </c>
      <c r="G97" s="10"/>
      <c r="H97" s="10"/>
      <c r="I97" s="10"/>
      <c r="J97" s="10"/>
      <c r="K97" s="10">
        <v>7.5</v>
      </c>
    </row>
    <row r="98" spans="1:11" ht="25.5" x14ac:dyDescent="0.2">
      <c r="A98" s="7">
        <v>43</v>
      </c>
      <c r="B98" s="15" t="s">
        <v>53</v>
      </c>
      <c r="C98" s="9">
        <f>+C99</f>
        <v>228.1</v>
      </c>
      <c r="D98" s="10">
        <f t="shared" ref="D98:H98" si="83">+D99</f>
        <v>0</v>
      </c>
      <c r="E98" s="10">
        <f t="shared" si="83"/>
        <v>0</v>
      </c>
      <c r="F98" s="10">
        <f t="shared" si="83"/>
        <v>228.1</v>
      </c>
      <c r="G98" s="10">
        <f t="shared" si="83"/>
        <v>0</v>
      </c>
      <c r="H98" s="10">
        <f t="shared" si="83"/>
        <v>0</v>
      </c>
      <c r="I98" s="10"/>
      <c r="J98" s="10">
        <f t="shared" ref="J98:K98" si="84">+J99</f>
        <v>0</v>
      </c>
      <c r="K98" s="10">
        <f t="shared" si="84"/>
        <v>0</v>
      </c>
    </row>
    <row r="99" spans="1:11" ht="13.5" customHeight="1" x14ac:dyDescent="0.2">
      <c r="A99" s="11" t="s">
        <v>118</v>
      </c>
      <c r="B99" s="16" t="s">
        <v>59</v>
      </c>
      <c r="C99" s="9">
        <f>+D99+E99+F99+G99+H99+J99+K99</f>
        <v>228.1</v>
      </c>
      <c r="D99" s="10"/>
      <c r="E99" s="10"/>
      <c r="F99" s="10">
        <v>228.1</v>
      </c>
      <c r="G99" s="10"/>
      <c r="H99" s="10"/>
      <c r="I99" s="10"/>
      <c r="J99" s="10"/>
      <c r="K99" s="10"/>
    </row>
    <row r="100" spans="1:11" x14ac:dyDescent="0.2">
      <c r="A100" s="7">
        <v>44</v>
      </c>
      <c r="B100" s="17" t="s">
        <v>41</v>
      </c>
      <c r="C100" s="9">
        <f>+C101+C102+C103+C104+C105</f>
        <v>57828.800000000003</v>
      </c>
      <c r="D100" s="10">
        <f t="shared" ref="D100:K100" si="85">+D101+D102+D103+D104+D105</f>
        <v>4025.2999999999997</v>
      </c>
      <c r="E100" s="10">
        <f t="shared" si="85"/>
        <v>0</v>
      </c>
      <c r="F100" s="9">
        <f t="shared" si="85"/>
        <v>35102</v>
      </c>
      <c r="G100" s="9">
        <f t="shared" si="85"/>
        <v>7690.5999999999995</v>
      </c>
      <c r="H100" s="9">
        <f t="shared" si="85"/>
        <v>5864</v>
      </c>
      <c r="I100" s="10">
        <f t="shared" si="85"/>
        <v>754.4</v>
      </c>
      <c r="J100" s="9">
        <f t="shared" si="85"/>
        <v>4375.2</v>
      </c>
      <c r="K100" s="10">
        <f t="shared" si="85"/>
        <v>17.3</v>
      </c>
    </row>
    <row r="101" spans="1:11" ht="13.5" customHeight="1" x14ac:dyDescent="0.2">
      <c r="A101" s="11" t="s">
        <v>119</v>
      </c>
      <c r="B101" s="12" t="s">
        <v>55</v>
      </c>
      <c r="C101" s="9">
        <f>+D101+E101+F101+G101+H101+J101+K101+I101</f>
        <v>7251.7</v>
      </c>
      <c r="D101" s="10"/>
      <c r="E101" s="10"/>
      <c r="F101" s="9">
        <f>4870.3+10+6.6+120+18.4</f>
        <v>5025.3</v>
      </c>
      <c r="G101" s="10">
        <f>8.3+45.7+55.5-55.5</f>
        <v>54</v>
      </c>
      <c r="H101" s="9">
        <f>1833-80</f>
        <v>1753</v>
      </c>
      <c r="I101" s="10">
        <f>299.4+120</f>
        <v>419.4</v>
      </c>
      <c r="J101" s="10"/>
      <c r="K101" s="10"/>
    </row>
    <row r="102" spans="1:11" ht="13.5" customHeight="1" x14ac:dyDescent="0.2">
      <c r="A102" s="11" t="s">
        <v>121</v>
      </c>
      <c r="B102" s="12" t="s">
        <v>56</v>
      </c>
      <c r="C102" s="9">
        <f>+D102+E102+F102+G102+H102+J102+K102+I102</f>
        <v>18446.3</v>
      </c>
      <c r="D102" s="9">
        <f>2833.1+2.6-4-56.3+2+400+45</f>
        <v>3222.3999999999996</v>
      </c>
      <c r="E102" s="10"/>
      <c r="F102" s="9">
        <f>10713.7+20+3+0.5-50+49.4-10-25</f>
        <v>10701.6</v>
      </c>
      <c r="G102" s="10">
        <f>189.4+78.7+88.4+56+24.4+61.8+345.6+41.1+48.8+613.5-16.4</f>
        <v>1531.2999999999997</v>
      </c>
      <c r="H102" s="9">
        <f>2706+50-100</f>
        <v>2656</v>
      </c>
      <c r="I102" s="10">
        <f>158+177</f>
        <v>335</v>
      </c>
      <c r="J102" s="10"/>
      <c r="K102" s="10"/>
    </row>
    <row r="103" spans="1:11" ht="13.5" customHeight="1" x14ac:dyDescent="0.2">
      <c r="A103" s="11" t="s">
        <v>120</v>
      </c>
      <c r="B103" s="12" t="s">
        <v>57</v>
      </c>
      <c r="C103" s="9">
        <f t="shared" ref="C103:C160" si="86">+D103+E103+F103+G103+H103+J103+K103+I103</f>
        <v>15890.5</v>
      </c>
      <c r="D103" s="10"/>
      <c r="E103" s="10"/>
      <c r="F103" s="9">
        <f>8740.5-50+97.7+137+127.2+10</f>
        <v>9062.4000000000015</v>
      </c>
      <c r="G103" s="10">
        <f>3200+271.8+14.1+230.1-230.1</f>
        <v>3485.9</v>
      </c>
      <c r="H103" s="9">
        <f>1760-550-10</f>
        <v>1200</v>
      </c>
      <c r="I103" s="10"/>
      <c r="J103" s="9">
        <v>2142.1999999999998</v>
      </c>
      <c r="K103" s="10"/>
    </row>
    <row r="104" spans="1:11" ht="13.5" customHeight="1" x14ac:dyDescent="0.2">
      <c r="A104" s="11" t="s">
        <v>122</v>
      </c>
      <c r="B104" s="12" t="s">
        <v>58</v>
      </c>
      <c r="C104" s="9">
        <f t="shared" si="86"/>
        <v>4843.3999999999996</v>
      </c>
      <c r="D104" s="10">
        <f>134.2+421.8+15.4</f>
        <v>571.4</v>
      </c>
      <c r="E104" s="10"/>
      <c r="F104" s="9">
        <f>1397.6+20-10+20-30</f>
        <v>1397.6</v>
      </c>
      <c r="G104" s="9">
        <f>1064+1291.2+230.1+34.1</f>
        <v>2619.3999999999996</v>
      </c>
      <c r="H104" s="10">
        <f>60+200-5</f>
        <v>255</v>
      </c>
      <c r="I104" s="10"/>
      <c r="J104" s="9"/>
      <c r="K104" s="10"/>
    </row>
    <row r="105" spans="1:11" ht="13.5" customHeight="1" x14ac:dyDescent="0.2">
      <c r="A105" s="11" t="s">
        <v>123</v>
      </c>
      <c r="B105" s="16" t="s">
        <v>59</v>
      </c>
      <c r="C105" s="9">
        <f t="shared" si="86"/>
        <v>11396.9</v>
      </c>
      <c r="D105" s="10">
        <f>226.3+5.2</f>
        <v>231.5</v>
      </c>
      <c r="E105" s="10"/>
      <c r="F105" s="9">
        <f>8918.6-3-0.5</f>
        <v>8915.1</v>
      </c>
      <c r="G105" s="10"/>
      <c r="H105" s="10"/>
      <c r="I105" s="10"/>
      <c r="J105" s="10">
        <v>2233</v>
      </c>
      <c r="K105" s="10">
        <v>17.3</v>
      </c>
    </row>
    <row r="106" spans="1:11" ht="25.5" x14ac:dyDescent="0.2">
      <c r="A106" s="7">
        <v>45</v>
      </c>
      <c r="B106" s="13" t="s">
        <v>42</v>
      </c>
      <c r="C106" s="9">
        <f>+C107+C108+C109</f>
        <v>3341.7</v>
      </c>
      <c r="D106" s="10">
        <f t="shared" ref="D106:K106" si="87">+D107+D108+D109</f>
        <v>4.7</v>
      </c>
      <c r="E106" s="10">
        <f t="shared" si="87"/>
        <v>0</v>
      </c>
      <c r="F106" s="10">
        <f t="shared" si="87"/>
        <v>3297.5</v>
      </c>
      <c r="G106" s="10">
        <f t="shared" si="87"/>
        <v>0</v>
      </c>
      <c r="H106" s="10">
        <f t="shared" si="87"/>
        <v>0</v>
      </c>
      <c r="I106" s="10">
        <f t="shared" si="87"/>
        <v>0</v>
      </c>
      <c r="J106" s="10">
        <f t="shared" si="87"/>
        <v>0</v>
      </c>
      <c r="K106" s="10">
        <f t="shared" si="87"/>
        <v>39.5</v>
      </c>
    </row>
    <row r="107" spans="1:11" ht="13.5" customHeight="1" x14ac:dyDescent="0.2">
      <c r="A107" s="11" t="s">
        <v>124</v>
      </c>
      <c r="B107" s="12" t="s">
        <v>56</v>
      </c>
      <c r="C107" s="9">
        <f t="shared" si="86"/>
        <v>162.1</v>
      </c>
      <c r="D107" s="10"/>
      <c r="E107" s="10"/>
      <c r="F107" s="10">
        <v>162.1</v>
      </c>
      <c r="G107" s="10"/>
      <c r="H107" s="10"/>
      <c r="I107" s="10"/>
      <c r="J107" s="10"/>
      <c r="K107" s="10"/>
    </row>
    <row r="108" spans="1:11" ht="13.5" customHeight="1" x14ac:dyDescent="0.2">
      <c r="A108" s="11" t="s">
        <v>125</v>
      </c>
      <c r="B108" s="12" t="s">
        <v>57</v>
      </c>
      <c r="C108" s="9">
        <f t="shared" si="86"/>
        <v>2912.3</v>
      </c>
      <c r="D108" s="10"/>
      <c r="E108" s="10"/>
      <c r="F108" s="10">
        <f>2774.3+138</f>
        <v>2912.3</v>
      </c>
      <c r="G108" s="10"/>
      <c r="H108" s="10"/>
      <c r="I108" s="10"/>
      <c r="J108" s="10"/>
      <c r="K108" s="10"/>
    </row>
    <row r="109" spans="1:11" ht="13.5" customHeight="1" x14ac:dyDescent="0.2">
      <c r="A109" s="11" t="s">
        <v>126</v>
      </c>
      <c r="B109" s="16" t="s">
        <v>59</v>
      </c>
      <c r="C109" s="9">
        <f t="shared" si="86"/>
        <v>267.29999999999995</v>
      </c>
      <c r="D109" s="10">
        <v>4.7</v>
      </c>
      <c r="E109" s="10"/>
      <c r="F109" s="10">
        <v>223.1</v>
      </c>
      <c r="G109" s="10"/>
      <c r="H109" s="10"/>
      <c r="I109" s="10"/>
      <c r="J109" s="10"/>
      <c r="K109" s="10">
        <f>0.3+39.2</f>
        <v>39.5</v>
      </c>
    </row>
    <row r="110" spans="1:11" ht="25.5" x14ac:dyDescent="0.2">
      <c r="A110" s="7">
        <v>46</v>
      </c>
      <c r="B110" s="13" t="s">
        <v>43</v>
      </c>
      <c r="C110" s="9">
        <f>+C111+C112+C113+C114</f>
        <v>440.3</v>
      </c>
      <c r="D110" s="10">
        <f t="shared" ref="D110:K110" si="88">+D111+D112+D113+D114</f>
        <v>21.700000000000003</v>
      </c>
      <c r="E110" s="10">
        <f t="shared" si="88"/>
        <v>0</v>
      </c>
      <c r="F110" s="10">
        <f t="shared" si="88"/>
        <v>414.80000000000007</v>
      </c>
      <c r="G110" s="10">
        <f t="shared" si="88"/>
        <v>0</v>
      </c>
      <c r="H110" s="10">
        <f t="shared" si="88"/>
        <v>0</v>
      </c>
      <c r="I110" s="10">
        <f t="shared" si="88"/>
        <v>0</v>
      </c>
      <c r="J110" s="10">
        <f t="shared" si="88"/>
        <v>0</v>
      </c>
      <c r="K110" s="10">
        <f t="shared" si="88"/>
        <v>3.8</v>
      </c>
    </row>
    <row r="111" spans="1:11" ht="13.5" customHeight="1" x14ac:dyDescent="0.2">
      <c r="A111" s="11" t="s">
        <v>127</v>
      </c>
      <c r="B111" s="12" t="s">
        <v>56</v>
      </c>
      <c r="C111" s="9">
        <f t="shared" si="86"/>
        <v>49.4</v>
      </c>
      <c r="D111" s="10">
        <v>5.0999999999999996</v>
      </c>
      <c r="E111" s="10"/>
      <c r="F111" s="10">
        <v>44.3</v>
      </c>
      <c r="G111" s="10"/>
      <c r="H111" s="10"/>
      <c r="I111" s="10"/>
      <c r="J111" s="10"/>
      <c r="K111" s="10"/>
    </row>
    <row r="112" spans="1:11" ht="13.5" customHeight="1" x14ac:dyDescent="0.2">
      <c r="A112" s="11" t="s">
        <v>128</v>
      </c>
      <c r="B112" s="12" t="s">
        <v>57</v>
      </c>
      <c r="C112" s="9">
        <f t="shared" si="86"/>
        <v>267.10000000000002</v>
      </c>
      <c r="D112" s="10"/>
      <c r="E112" s="10"/>
      <c r="F112" s="10">
        <f>232.1+35</f>
        <v>267.10000000000002</v>
      </c>
      <c r="G112" s="10"/>
      <c r="H112" s="10"/>
      <c r="I112" s="10"/>
      <c r="J112" s="10"/>
      <c r="K112" s="10"/>
    </row>
    <row r="113" spans="1:11" ht="13.5" customHeight="1" x14ac:dyDescent="0.2">
      <c r="A113" s="11" t="s">
        <v>129</v>
      </c>
      <c r="B113" s="12" t="s">
        <v>58</v>
      </c>
      <c r="C113" s="9">
        <f t="shared" si="86"/>
        <v>16.600000000000001</v>
      </c>
      <c r="D113" s="10">
        <v>16.600000000000001</v>
      </c>
      <c r="E113" s="10"/>
      <c r="F113" s="10"/>
      <c r="G113" s="10"/>
      <c r="H113" s="10"/>
      <c r="I113" s="10"/>
      <c r="J113" s="10"/>
      <c r="K113" s="10"/>
    </row>
    <row r="114" spans="1:11" ht="13.5" customHeight="1" x14ac:dyDescent="0.2">
      <c r="A114" s="11" t="s">
        <v>130</v>
      </c>
      <c r="B114" s="16" t="s">
        <v>59</v>
      </c>
      <c r="C114" s="9">
        <f t="shared" si="86"/>
        <v>107.2</v>
      </c>
      <c r="D114" s="10"/>
      <c r="E114" s="10"/>
      <c r="F114" s="10">
        <v>103.4</v>
      </c>
      <c r="G114" s="10"/>
      <c r="H114" s="10"/>
      <c r="I114" s="10"/>
      <c r="J114" s="10"/>
      <c r="K114" s="10">
        <v>3.8</v>
      </c>
    </row>
    <row r="115" spans="1:11" ht="25.5" x14ac:dyDescent="0.2">
      <c r="A115" s="7">
        <v>47</v>
      </c>
      <c r="B115" s="13" t="s">
        <v>44</v>
      </c>
      <c r="C115" s="9">
        <f>+C116+C117+C118+C119</f>
        <v>360.2</v>
      </c>
      <c r="D115" s="10">
        <f t="shared" ref="D115:K115" si="89">+D116+D117+D118+D119</f>
        <v>16.899999999999999</v>
      </c>
      <c r="E115" s="10">
        <f t="shared" si="89"/>
        <v>0</v>
      </c>
      <c r="F115" s="10">
        <f t="shared" si="89"/>
        <v>338</v>
      </c>
      <c r="G115" s="10">
        <f t="shared" si="89"/>
        <v>0</v>
      </c>
      <c r="H115" s="10">
        <f t="shared" si="89"/>
        <v>0</v>
      </c>
      <c r="I115" s="10">
        <f t="shared" si="89"/>
        <v>0</v>
      </c>
      <c r="J115" s="10">
        <f t="shared" si="89"/>
        <v>0</v>
      </c>
      <c r="K115" s="10">
        <f t="shared" si="89"/>
        <v>5.3</v>
      </c>
    </row>
    <row r="116" spans="1:11" ht="13.5" customHeight="1" x14ac:dyDescent="0.2">
      <c r="A116" s="11" t="s">
        <v>131</v>
      </c>
      <c r="B116" s="12" t="s">
        <v>56</v>
      </c>
      <c r="C116" s="9">
        <f t="shared" si="86"/>
        <v>28.3</v>
      </c>
      <c r="D116" s="10">
        <v>4.5</v>
      </c>
      <c r="E116" s="10"/>
      <c r="F116" s="10">
        <v>23.8</v>
      </c>
      <c r="G116" s="10"/>
      <c r="H116" s="10"/>
      <c r="I116" s="10"/>
      <c r="J116" s="10"/>
      <c r="K116" s="10"/>
    </row>
    <row r="117" spans="1:11" ht="13.5" customHeight="1" x14ac:dyDescent="0.2">
      <c r="A117" s="11" t="s">
        <v>132</v>
      </c>
      <c r="B117" s="12" t="s">
        <v>57</v>
      </c>
      <c r="C117" s="9">
        <f t="shared" si="86"/>
        <v>203.39999999999998</v>
      </c>
      <c r="D117" s="10"/>
      <c r="E117" s="10"/>
      <c r="F117" s="10">
        <v>202.2</v>
      </c>
      <c r="G117" s="10"/>
      <c r="H117" s="10"/>
      <c r="I117" s="10"/>
      <c r="J117" s="10"/>
      <c r="K117" s="10">
        <v>1.2</v>
      </c>
    </row>
    <row r="118" spans="1:11" ht="13.5" customHeight="1" x14ac:dyDescent="0.2">
      <c r="A118" s="11" t="s">
        <v>133</v>
      </c>
      <c r="B118" s="12" t="s">
        <v>58</v>
      </c>
      <c r="C118" s="9">
        <f t="shared" si="86"/>
        <v>12.4</v>
      </c>
      <c r="D118" s="10">
        <v>12.4</v>
      </c>
      <c r="E118" s="10"/>
      <c r="F118" s="10"/>
      <c r="G118" s="10"/>
      <c r="H118" s="10"/>
      <c r="I118" s="10"/>
      <c r="J118" s="10"/>
      <c r="K118" s="10"/>
    </row>
    <row r="119" spans="1:11" ht="13.5" customHeight="1" x14ac:dyDescent="0.2">
      <c r="A119" s="11" t="s">
        <v>134</v>
      </c>
      <c r="B119" s="16" t="s">
        <v>59</v>
      </c>
      <c r="C119" s="9">
        <f t="shared" si="86"/>
        <v>116.1</v>
      </c>
      <c r="D119" s="10"/>
      <c r="E119" s="10"/>
      <c r="F119" s="10">
        <v>112</v>
      </c>
      <c r="G119" s="10"/>
      <c r="H119" s="10"/>
      <c r="I119" s="10"/>
      <c r="J119" s="10"/>
      <c r="K119" s="10">
        <v>4.0999999999999996</v>
      </c>
    </row>
    <row r="120" spans="1:11" ht="25.5" x14ac:dyDescent="0.2">
      <c r="A120" s="7">
        <v>48</v>
      </c>
      <c r="B120" s="13" t="s">
        <v>45</v>
      </c>
      <c r="C120" s="9">
        <f>+C121+C122+C123+C124</f>
        <v>340.5</v>
      </c>
      <c r="D120" s="10">
        <f t="shared" ref="D120:K120" si="90">+D121+D122+D123+D124</f>
        <v>12.2</v>
      </c>
      <c r="E120" s="10">
        <f t="shared" si="90"/>
        <v>0</v>
      </c>
      <c r="F120" s="10">
        <f t="shared" si="90"/>
        <v>311.8</v>
      </c>
      <c r="G120" s="10">
        <f t="shared" si="90"/>
        <v>0</v>
      </c>
      <c r="H120" s="10">
        <f t="shared" si="90"/>
        <v>0</v>
      </c>
      <c r="I120" s="10">
        <f t="shared" si="90"/>
        <v>0</v>
      </c>
      <c r="J120" s="10">
        <f t="shared" si="90"/>
        <v>0</v>
      </c>
      <c r="K120" s="10">
        <f t="shared" si="90"/>
        <v>16.5</v>
      </c>
    </row>
    <row r="121" spans="1:11" ht="13.5" customHeight="1" x14ac:dyDescent="0.2">
      <c r="A121" s="11" t="s">
        <v>135</v>
      </c>
      <c r="B121" s="12" t="s">
        <v>56</v>
      </c>
      <c r="C121" s="9">
        <f t="shared" si="86"/>
        <v>33.5</v>
      </c>
      <c r="D121" s="10">
        <v>5.0999999999999996</v>
      </c>
      <c r="E121" s="10"/>
      <c r="F121" s="10">
        <v>28.4</v>
      </c>
      <c r="G121" s="10"/>
      <c r="H121" s="10"/>
      <c r="I121" s="10"/>
      <c r="J121" s="10"/>
      <c r="K121" s="10"/>
    </row>
    <row r="122" spans="1:11" ht="13.5" customHeight="1" x14ac:dyDescent="0.2">
      <c r="A122" s="11" t="s">
        <v>136</v>
      </c>
      <c r="B122" s="12" t="s">
        <v>57</v>
      </c>
      <c r="C122" s="9">
        <f t="shared" si="86"/>
        <v>195.5</v>
      </c>
      <c r="D122" s="10"/>
      <c r="E122" s="10"/>
      <c r="F122" s="10">
        <v>183.9</v>
      </c>
      <c r="G122" s="10"/>
      <c r="H122" s="10"/>
      <c r="I122" s="10"/>
      <c r="J122" s="10"/>
      <c r="K122" s="10">
        <v>11.6</v>
      </c>
    </row>
    <row r="123" spans="1:11" ht="13.5" customHeight="1" x14ac:dyDescent="0.2">
      <c r="A123" s="11" t="s">
        <v>137</v>
      </c>
      <c r="B123" s="12" t="s">
        <v>58</v>
      </c>
      <c r="C123" s="9">
        <f t="shared" si="86"/>
        <v>7.1</v>
      </c>
      <c r="D123" s="10">
        <v>7.1</v>
      </c>
      <c r="E123" s="10"/>
      <c r="F123" s="10"/>
      <c r="G123" s="10"/>
      <c r="H123" s="10"/>
      <c r="I123" s="10"/>
      <c r="J123" s="10"/>
      <c r="K123" s="10"/>
    </row>
    <row r="124" spans="1:11" ht="13.5" customHeight="1" x14ac:dyDescent="0.2">
      <c r="A124" s="11" t="s">
        <v>138</v>
      </c>
      <c r="B124" s="16" t="s">
        <v>59</v>
      </c>
      <c r="C124" s="9">
        <f t="shared" si="86"/>
        <v>104.4</v>
      </c>
      <c r="D124" s="10"/>
      <c r="E124" s="10"/>
      <c r="F124" s="10">
        <v>99.5</v>
      </c>
      <c r="G124" s="10"/>
      <c r="H124" s="10"/>
      <c r="I124" s="10"/>
      <c r="J124" s="10"/>
      <c r="K124" s="10">
        <v>4.9000000000000004</v>
      </c>
    </row>
    <row r="125" spans="1:11" ht="25.5" x14ac:dyDescent="0.2">
      <c r="A125" s="7">
        <v>49</v>
      </c>
      <c r="B125" s="13" t="s">
        <v>46</v>
      </c>
      <c r="C125" s="9">
        <f>+C127+C128+C129+C130+C126</f>
        <v>337.59999999999997</v>
      </c>
      <c r="D125" s="10">
        <f t="shared" ref="D125:K125" si="91">+D127+D128+D129+D130+D126</f>
        <v>6.3000000000000007</v>
      </c>
      <c r="E125" s="10">
        <f t="shared" si="91"/>
        <v>0</v>
      </c>
      <c r="F125" s="10">
        <f t="shared" si="91"/>
        <v>329.4</v>
      </c>
      <c r="G125" s="10">
        <f t="shared" si="91"/>
        <v>0</v>
      </c>
      <c r="H125" s="10">
        <f t="shared" si="91"/>
        <v>0</v>
      </c>
      <c r="I125" s="10">
        <f t="shared" si="91"/>
        <v>0</v>
      </c>
      <c r="J125" s="10">
        <f t="shared" si="91"/>
        <v>0</v>
      </c>
      <c r="K125" s="10">
        <f t="shared" si="91"/>
        <v>1.9</v>
      </c>
    </row>
    <row r="126" spans="1:11" ht="13.5" customHeight="1" x14ac:dyDescent="0.2">
      <c r="A126" s="11" t="s">
        <v>112</v>
      </c>
      <c r="B126" s="12" t="s">
        <v>55</v>
      </c>
      <c r="C126" s="9">
        <f t="shared" si="86"/>
        <v>10.4</v>
      </c>
      <c r="D126" s="10"/>
      <c r="E126" s="10"/>
      <c r="F126" s="10">
        <v>10.4</v>
      </c>
      <c r="G126" s="10"/>
      <c r="H126" s="10"/>
      <c r="I126" s="10"/>
      <c r="J126" s="10"/>
      <c r="K126" s="10"/>
    </row>
    <row r="127" spans="1:11" ht="13.5" customHeight="1" x14ac:dyDescent="0.2">
      <c r="A127" s="11" t="s">
        <v>139</v>
      </c>
      <c r="B127" s="12" t="s">
        <v>56</v>
      </c>
      <c r="C127" s="9">
        <f t="shared" si="86"/>
        <v>41.6</v>
      </c>
      <c r="D127" s="10">
        <v>5.0999999999999996</v>
      </c>
      <c r="E127" s="10"/>
      <c r="F127" s="10">
        <v>36.5</v>
      </c>
      <c r="G127" s="10"/>
      <c r="H127" s="10"/>
      <c r="I127" s="10"/>
      <c r="J127" s="10"/>
      <c r="K127" s="10"/>
    </row>
    <row r="128" spans="1:11" ht="13.5" customHeight="1" x14ac:dyDescent="0.2">
      <c r="A128" s="11" t="s">
        <v>140</v>
      </c>
      <c r="B128" s="12" t="s">
        <v>57</v>
      </c>
      <c r="C128" s="9">
        <f t="shared" si="86"/>
        <v>195.6</v>
      </c>
      <c r="D128" s="10"/>
      <c r="E128" s="10"/>
      <c r="F128" s="10">
        <f>180.4+15</f>
        <v>195.4</v>
      </c>
      <c r="G128" s="10"/>
      <c r="H128" s="10"/>
      <c r="I128" s="10"/>
      <c r="J128" s="10"/>
      <c r="K128" s="10">
        <v>0.2</v>
      </c>
    </row>
    <row r="129" spans="1:11" ht="13.5" customHeight="1" x14ac:dyDescent="0.2">
      <c r="A129" s="11" t="s">
        <v>141</v>
      </c>
      <c r="B129" s="12" t="s">
        <v>58</v>
      </c>
      <c r="C129" s="9">
        <f t="shared" si="86"/>
        <v>1.2000000000000011</v>
      </c>
      <c r="D129" s="10">
        <f>16.6-15.4</f>
        <v>1.2000000000000011</v>
      </c>
      <c r="E129" s="10"/>
      <c r="F129" s="10"/>
      <c r="G129" s="10"/>
      <c r="H129" s="10"/>
      <c r="I129" s="10"/>
      <c r="J129" s="10"/>
      <c r="K129" s="10"/>
    </row>
    <row r="130" spans="1:11" ht="13.5" customHeight="1" x14ac:dyDescent="0.2">
      <c r="A130" s="11" t="s">
        <v>142</v>
      </c>
      <c r="B130" s="16" t="s">
        <v>59</v>
      </c>
      <c r="C130" s="9">
        <f t="shared" si="86"/>
        <v>88.8</v>
      </c>
      <c r="D130" s="10"/>
      <c r="E130" s="10"/>
      <c r="F130" s="10">
        <v>87.1</v>
      </c>
      <c r="G130" s="10"/>
      <c r="H130" s="10"/>
      <c r="I130" s="10"/>
      <c r="J130" s="10"/>
      <c r="K130" s="10">
        <v>1.7</v>
      </c>
    </row>
    <row r="131" spans="1:11" ht="25.5" x14ac:dyDescent="0.2">
      <c r="A131" s="7">
        <v>50</v>
      </c>
      <c r="B131" s="13" t="s">
        <v>47</v>
      </c>
      <c r="C131" s="9">
        <f>+C132+C133+C134+C135</f>
        <v>355.5</v>
      </c>
      <c r="D131" s="10">
        <f t="shared" ref="D131:K131" si="92">+D132+D133+D134+D135</f>
        <v>22.9</v>
      </c>
      <c r="E131" s="10">
        <f t="shared" si="92"/>
        <v>0</v>
      </c>
      <c r="F131" s="10">
        <f t="shared" si="92"/>
        <v>316.60000000000002</v>
      </c>
      <c r="G131" s="10">
        <f t="shared" si="92"/>
        <v>0</v>
      </c>
      <c r="H131" s="10">
        <f t="shared" si="92"/>
        <v>0</v>
      </c>
      <c r="I131" s="10">
        <f t="shared" si="92"/>
        <v>0</v>
      </c>
      <c r="J131" s="10">
        <f t="shared" si="92"/>
        <v>0</v>
      </c>
      <c r="K131" s="10">
        <f t="shared" si="92"/>
        <v>16</v>
      </c>
    </row>
    <row r="132" spans="1:11" ht="13.5" customHeight="1" x14ac:dyDescent="0.2">
      <c r="A132" s="11" t="s">
        <v>143</v>
      </c>
      <c r="B132" s="12" t="s">
        <v>56</v>
      </c>
      <c r="C132" s="9">
        <f t="shared" si="86"/>
        <v>31</v>
      </c>
      <c r="D132" s="10">
        <v>5.0999999999999996</v>
      </c>
      <c r="E132" s="10"/>
      <c r="F132" s="10">
        <v>25.9</v>
      </c>
      <c r="G132" s="10"/>
      <c r="H132" s="10"/>
      <c r="I132" s="10"/>
      <c r="J132" s="10"/>
      <c r="K132" s="10"/>
    </row>
    <row r="133" spans="1:11" ht="13.5" customHeight="1" x14ac:dyDescent="0.2">
      <c r="A133" s="11" t="s">
        <v>144</v>
      </c>
      <c r="B133" s="12" t="s">
        <v>57</v>
      </c>
      <c r="C133" s="9">
        <f t="shared" si="86"/>
        <v>182.4</v>
      </c>
      <c r="D133" s="10"/>
      <c r="E133" s="10"/>
      <c r="F133" s="10">
        <f>177.4+5</f>
        <v>182.4</v>
      </c>
      <c r="G133" s="10"/>
      <c r="H133" s="10"/>
      <c r="I133" s="10"/>
      <c r="J133" s="10"/>
      <c r="K133" s="10"/>
    </row>
    <row r="134" spans="1:11" ht="13.5" customHeight="1" x14ac:dyDescent="0.2">
      <c r="A134" s="11" t="s">
        <v>145</v>
      </c>
      <c r="B134" s="12" t="s">
        <v>58</v>
      </c>
      <c r="C134" s="9">
        <f t="shared" si="86"/>
        <v>17.8</v>
      </c>
      <c r="D134" s="10">
        <v>17.8</v>
      </c>
      <c r="E134" s="10"/>
      <c r="F134" s="10"/>
      <c r="G134" s="10"/>
      <c r="H134" s="10"/>
      <c r="I134" s="10"/>
      <c r="J134" s="10"/>
      <c r="K134" s="10"/>
    </row>
    <row r="135" spans="1:11" ht="13.5" customHeight="1" x14ac:dyDescent="0.2">
      <c r="A135" s="11" t="s">
        <v>146</v>
      </c>
      <c r="B135" s="16" t="s">
        <v>59</v>
      </c>
      <c r="C135" s="9">
        <f t="shared" si="86"/>
        <v>124.3</v>
      </c>
      <c r="D135" s="10"/>
      <c r="E135" s="10"/>
      <c r="F135" s="10">
        <v>108.3</v>
      </c>
      <c r="G135" s="10"/>
      <c r="H135" s="10"/>
      <c r="I135" s="10"/>
      <c r="J135" s="10"/>
      <c r="K135" s="10">
        <v>16</v>
      </c>
    </row>
    <row r="136" spans="1:11" ht="25.5" x14ac:dyDescent="0.2">
      <c r="A136" s="7">
        <v>51</v>
      </c>
      <c r="B136" s="15" t="s">
        <v>48</v>
      </c>
      <c r="C136" s="9">
        <f>+C137+C138+C139+C140</f>
        <v>370.8</v>
      </c>
      <c r="D136" s="10">
        <f t="shared" ref="D136:K136" si="93">+D137+D138+D139+D140</f>
        <v>17.8</v>
      </c>
      <c r="E136" s="10">
        <f t="shared" si="93"/>
        <v>0</v>
      </c>
      <c r="F136" s="10">
        <f t="shared" si="93"/>
        <v>347.6</v>
      </c>
      <c r="G136" s="10">
        <f t="shared" si="93"/>
        <v>0</v>
      </c>
      <c r="H136" s="10">
        <f t="shared" si="93"/>
        <v>0</v>
      </c>
      <c r="I136" s="10">
        <f t="shared" si="93"/>
        <v>0</v>
      </c>
      <c r="J136" s="10">
        <f t="shared" si="93"/>
        <v>0</v>
      </c>
      <c r="K136" s="10">
        <f t="shared" si="93"/>
        <v>5.4</v>
      </c>
    </row>
    <row r="137" spans="1:11" ht="13.5" customHeight="1" x14ac:dyDescent="0.2">
      <c r="A137" s="11" t="s">
        <v>147</v>
      </c>
      <c r="B137" s="12" t="s">
        <v>56</v>
      </c>
      <c r="C137" s="9">
        <f t="shared" si="86"/>
        <v>33.1</v>
      </c>
      <c r="D137" s="10">
        <v>4.5</v>
      </c>
      <c r="E137" s="10"/>
      <c r="F137" s="10">
        <v>28.6</v>
      </c>
      <c r="G137" s="10"/>
      <c r="H137" s="10"/>
      <c r="I137" s="10"/>
      <c r="J137" s="10"/>
      <c r="K137" s="10"/>
    </row>
    <row r="138" spans="1:11" ht="13.5" customHeight="1" x14ac:dyDescent="0.2">
      <c r="A138" s="11" t="s">
        <v>148</v>
      </c>
      <c r="B138" s="12" t="s">
        <v>57</v>
      </c>
      <c r="C138" s="9">
        <f t="shared" si="86"/>
        <v>144.80000000000001</v>
      </c>
      <c r="D138" s="10"/>
      <c r="E138" s="10"/>
      <c r="F138" s="10">
        <v>144.80000000000001</v>
      </c>
      <c r="G138" s="10"/>
      <c r="H138" s="10"/>
      <c r="I138" s="10"/>
      <c r="J138" s="10"/>
      <c r="K138" s="10"/>
    </row>
    <row r="139" spans="1:11" ht="13.5" customHeight="1" x14ac:dyDescent="0.2">
      <c r="A139" s="11" t="s">
        <v>149</v>
      </c>
      <c r="B139" s="12" t="s">
        <v>58</v>
      </c>
      <c r="C139" s="9">
        <f t="shared" si="86"/>
        <v>13.3</v>
      </c>
      <c r="D139" s="10">
        <v>13.3</v>
      </c>
      <c r="E139" s="10"/>
      <c r="F139" s="10"/>
      <c r="G139" s="10"/>
      <c r="H139" s="10"/>
      <c r="I139" s="10"/>
      <c r="J139" s="10"/>
      <c r="K139" s="10"/>
    </row>
    <row r="140" spans="1:11" ht="13.5" customHeight="1" x14ac:dyDescent="0.2">
      <c r="A140" s="11" t="s">
        <v>150</v>
      </c>
      <c r="B140" s="16" t="s">
        <v>59</v>
      </c>
      <c r="C140" s="9">
        <f t="shared" si="86"/>
        <v>179.6</v>
      </c>
      <c r="D140" s="10"/>
      <c r="E140" s="10"/>
      <c r="F140" s="10">
        <v>174.2</v>
      </c>
      <c r="G140" s="10"/>
      <c r="H140" s="10"/>
      <c r="I140" s="10"/>
      <c r="J140" s="10"/>
      <c r="K140" s="10">
        <v>5.4</v>
      </c>
    </row>
    <row r="141" spans="1:11" ht="25.5" x14ac:dyDescent="0.2">
      <c r="A141" s="7">
        <v>52</v>
      </c>
      <c r="B141" s="13" t="s">
        <v>49</v>
      </c>
      <c r="C141" s="9">
        <f>+C142+C143+C144+C145</f>
        <v>263</v>
      </c>
      <c r="D141" s="10">
        <f t="shared" ref="D141:K141" si="94">+D142+D143+D144+D145</f>
        <v>16.2</v>
      </c>
      <c r="E141" s="10">
        <f t="shared" si="94"/>
        <v>0</v>
      </c>
      <c r="F141" s="10">
        <f t="shared" si="94"/>
        <v>243.8</v>
      </c>
      <c r="G141" s="10">
        <f t="shared" si="94"/>
        <v>0</v>
      </c>
      <c r="H141" s="10">
        <f t="shared" si="94"/>
        <v>0</v>
      </c>
      <c r="I141" s="10">
        <f t="shared" si="94"/>
        <v>0</v>
      </c>
      <c r="J141" s="10">
        <f t="shared" si="94"/>
        <v>0</v>
      </c>
      <c r="K141" s="10">
        <f t="shared" si="94"/>
        <v>3</v>
      </c>
    </row>
    <row r="142" spans="1:11" ht="13.5" customHeight="1" x14ac:dyDescent="0.2">
      <c r="A142" s="11" t="s">
        <v>151</v>
      </c>
      <c r="B142" s="12" t="s">
        <v>56</v>
      </c>
      <c r="C142" s="9">
        <f t="shared" si="86"/>
        <v>32.200000000000003</v>
      </c>
      <c r="D142" s="10">
        <v>4.5</v>
      </c>
      <c r="E142" s="10"/>
      <c r="F142" s="10">
        <v>27.7</v>
      </c>
      <c r="G142" s="10"/>
      <c r="H142" s="10"/>
      <c r="I142" s="10"/>
      <c r="J142" s="10"/>
      <c r="K142" s="10"/>
    </row>
    <row r="143" spans="1:11" ht="13.5" customHeight="1" x14ac:dyDescent="0.2">
      <c r="A143" s="11" t="s">
        <v>152</v>
      </c>
      <c r="B143" s="12" t="s">
        <v>57</v>
      </c>
      <c r="C143" s="9">
        <f t="shared" si="86"/>
        <v>99.699999999999989</v>
      </c>
      <c r="D143" s="10"/>
      <c r="E143" s="10"/>
      <c r="F143" s="10">
        <f>94.6+5</f>
        <v>99.6</v>
      </c>
      <c r="G143" s="10"/>
      <c r="H143" s="10"/>
      <c r="I143" s="10"/>
      <c r="J143" s="10"/>
      <c r="K143" s="10">
        <v>0.1</v>
      </c>
    </row>
    <row r="144" spans="1:11" ht="13.5" customHeight="1" x14ac:dyDescent="0.2">
      <c r="A144" s="11" t="s">
        <v>153</v>
      </c>
      <c r="B144" s="12" t="s">
        <v>58</v>
      </c>
      <c r="C144" s="9">
        <f t="shared" si="86"/>
        <v>11.7</v>
      </c>
      <c r="D144" s="10">
        <v>11.7</v>
      </c>
      <c r="E144" s="10"/>
      <c r="F144" s="10"/>
      <c r="G144" s="10"/>
      <c r="H144" s="10"/>
      <c r="I144" s="10"/>
      <c r="J144" s="10"/>
      <c r="K144" s="10"/>
    </row>
    <row r="145" spans="1:11" ht="13.5" customHeight="1" x14ac:dyDescent="0.2">
      <c r="A145" s="11" t="s">
        <v>154</v>
      </c>
      <c r="B145" s="16" t="s">
        <v>59</v>
      </c>
      <c r="C145" s="9">
        <f t="shared" si="86"/>
        <v>119.4</v>
      </c>
      <c r="D145" s="10"/>
      <c r="E145" s="10"/>
      <c r="F145" s="10">
        <v>116.5</v>
      </c>
      <c r="G145" s="10"/>
      <c r="H145" s="10"/>
      <c r="I145" s="10"/>
      <c r="J145" s="10"/>
      <c r="K145" s="10">
        <v>2.9</v>
      </c>
    </row>
    <row r="146" spans="1:11" ht="25.5" x14ac:dyDescent="0.2">
      <c r="A146" s="7">
        <v>53</v>
      </c>
      <c r="B146" s="13" t="s">
        <v>50</v>
      </c>
      <c r="C146" s="9">
        <f>+C147+C148+C149+C150</f>
        <v>324.09999999999997</v>
      </c>
      <c r="D146" s="10">
        <f t="shared" ref="D146:K146" si="95">+D147+D148+D149+D150</f>
        <v>21.700000000000003</v>
      </c>
      <c r="E146" s="10">
        <f t="shared" si="95"/>
        <v>0</v>
      </c>
      <c r="F146" s="10">
        <f t="shared" si="95"/>
        <v>296.59999999999997</v>
      </c>
      <c r="G146" s="10">
        <f t="shared" si="95"/>
        <v>0</v>
      </c>
      <c r="H146" s="10">
        <f t="shared" si="95"/>
        <v>0</v>
      </c>
      <c r="I146" s="10">
        <f t="shared" si="95"/>
        <v>0</v>
      </c>
      <c r="J146" s="10">
        <f t="shared" si="95"/>
        <v>0</v>
      </c>
      <c r="K146" s="10">
        <f t="shared" si="95"/>
        <v>5.8</v>
      </c>
    </row>
    <row r="147" spans="1:11" ht="13.5" customHeight="1" x14ac:dyDescent="0.2">
      <c r="A147" s="11" t="s">
        <v>155</v>
      </c>
      <c r="B147" s="12" t="s">
        <v>56</v>
      </c>
      <c r="C147" s="9">
        <f t="shared" si="86"/>
        <v>33.200000000000003</v>
      </c>
      <c r="D147" s="10">
        <v>5.0999999999999996</v>
      </c>
      <c r="E147" s="10"/>
      <c r="F147" s="10">
        <v>28.1</v>
      </c>
      <c r="G147" s="10"/>
      <c r="H147" s="10"/>
      <c r="I147" s="10"/>
      <c r="J147" s="10"/>
      <c r="K147" s="10"/>
    </row>
    <row r="148" spans="1:11" ht="13.5" customHeight="1" x14ac:dyDescent="0.2">
      <c r="A148" s="11" t="s">
        <v>156</v>
      </c>
      <c r="B148" s="12" t="s">
        <v>57</v>
      </c>
      <c r="C148" s="9">
        <f t="shared" si="86"/>
        <v>163</v>
      </c>
      <c r="D148" s="10"/>
      <c r="E148" s="10"/>
      <c r="F148" s="10">
        <f>139.2+20</f>
        <v>159.19999999999999</v>
      </c>
      <c r="G148" s="10"/>
      <c r="H148" s="10"/>
      <c r="I148" s="10"/>
      <c r="J148" s="10"/>
      <c r="K148" s="10">
        <v>3.8</v>
      </c>
    </row>
    <row r="149" spans="1:11" ht="13.5" customHeight="1" x14ac:dyDescent="0.2">
      <c r="A149" s="11" t="s">
        <v>157</v>
      </c>
      <c r="B149" s="12" t="s">
        <v>58</v>
      </c>
      <c r="C149" s="9">
        <f t="shared" si="86"/>
        <v>16.600000000000001</v>
      </c>
      <c r="D149" s="10">
        <v>16.600000000000001</v>
      </c>
      <c r="E149" s="10"/>
      <c r="F149" s="10"/>
      <c r="G149" s="10"/>
      <c r="H149" s="10"/>
      <c r="I149" s="10"/>
      <c r="J149" s="10"/>
      <c r="K149" s="10"/>
    </row>
    <row r="150" spans="1:11" ht="13.5" customHeight="1" x14ac:dyDescent="0.2">
      <c r="A150" s="11" t="s">
        <v>158</v>
      </c>
      <c r="B150" s="16" t="s">
        <v>59</v>
      </c>
      <c r="C150" s="9">
        <f t="shared" si="86"/>
        <v>111.3</v>
      </c>
      <c r="D150" s="10"/>
      <c r="E150" s="10"/>
      <c r="F150" s="10">
        <v>109.3</v>
      </c>
      <c r="G150" s="10"/>
      <c r="H150" s="10"/>
      <c r="I150" s="10"/>
      <c r="J150" s="10"/>
      <c r="K150" s="10">
        <v>2</v>
      </c>
    </row>
    <row r="151" spans="1:11" ht="25.5" x14ac:dyDescent="0.2">
      <c r="A151" s="7">
        <v>54</v>
      </c>
      <c r="B151" s="13" t="s">
        <v>51</v>
      </c>
      <c r="C151" s="9">
        <f>+C152+C153+C154+C155</f>
        <v>299.5</v>
      </c>
      <c r="D151" s="10">
        <f t="shared" ref="D151:K151" si="96">+D152+D153+D154+D155</f>
        <v>17.899999999999999</v>
      </c>
      <c r="E151" s="10">
        <f t="shared" si="96"/>
        <v>0</v>
      </c>
      <c r="F151" s="10">
        <f t="shared" si="96"/>
        <v>273.89999999999998</v>
      </c>
      <c r="G151" s="10">
        <f t="shared" si="96"/>
        <v>0</v>
      </c>
      <c r="H151" s="10">
        <f t="shared" si="96"/>
        <v>0</v>
      </c>
      <c r="I151" s="10">
        <f t="shared" si="96"/>
        <v>0</v>
      </c>
      <c r="J151" s="10">
        <f t="shared" si="96"/>
        <v>0</v>
      </c>
      <c r="K151" s="10">
        <f t="shared" si="96"/>
        <v>7.6999999999999993</v>
      </c>
    </row>
    <row r="152" spans="1:11" ht="13.5" customHeight="1" x14ac:dyDescent="0.2">
      <c r="A152" s="11" t="s">
        <v>159</v>
      </c>
      <c r="B152" s="12" t="s">
        <v>56</v>
      </c>
      <c r="C152" s="9">
        <f t="shared" si="86"/>
        <v>29</v>
      </c>
      <c r="D152" s="10">
        <v>4.5999999999999996</v>
      </c>
      <c r="E152" s="10"/>
      <c r="F152" s="10">
        <v>24.4</v>
      </c>
      <c r="G152" s="10"/>
      <c r="H152" s="10"/>
      <c r="I152" s="10"/>
      <c r="J152" s="10"/>
      <c r="K152" s="10"/>
    </row>
    <row r="153" spans="1:11" ht="13.5" customHeight="1" x14ac:dyDescent="0.2">
      <c r="A153" s="11" t="s">
        <v>161</v>
      </c>
      <c r="B153" s="12" t="s">
        <v>57</v>
      </c>
      <c r="C153" s="9">
        <f t="shared" si="86"/>
        <v>132.9</v>
      </c>
      <c r="D153" s="10"/>
      <c r="E153" s="10"/>
      <c r="F153" s="10">
        <v>132.9</v>
      </c>
      <c r="G153" s="10"/>
      <c r="H153" s="10"/>
      <c r="I153" s="10"/>
      <c r="J153" s="10"/>
      <c r="K153" s="10"/>
    </row>
    <row r="154" spans="1:11" ht="13.5" customHeight="1" x14ac:dyDescent="0.2">
      <c r="A154" s="11" t="s">
        <v>160</v>
      </c>
      <c r="B154" s="12" t="s">
        <v>58</v>
      </c>
      <c r="C154" s="9">
        <f t="shared" si="86"/>
        <v>13.3</v>
      </c>
      <c r="D154" s="10">
        <v>13.3</v>
      </c>
      <c r="E154" s="10"/>
      <c r="F154" s="10"/>
      <c r="G154" s="10"/>
      <c r="H154" s="10"/>
      <c r="I154" s="10"/>
      <c r="J154" s="10"/>
      <c r="K154" s="10"/>
    </row>
    <row r="155" spans="1:11" ht="13.5" customHeight="1" x14ac:dyDescent="0.2">
      <c r="A155" s="11" t="s">
        <v>162</v>
      </c>
      <c r="B155" s="16" t="s">
        <v>59</v>
      </c>
      <c r="C155" s="9">
        <f t="shared" si="86"/>
        <v>124.3</v>
      </c>
      <c r="D155" s="10"/>
      <c r="E155" s="10"/>
      <c r="F155" s="10">
        <v>116.6</v>
      </c>
      <c r="G155" s="10"/>
      <c r="H155" s="10"/>
      <c r="I155" s="10"/>
      <c r="J155" s="10"/>
      <c r="K155" s="10">
        <f>4.3+3.4</f>
        <v>7.6999999999999993</v>
      </c>
    </row>
    <row r="156" spans="1:11" ht="25.5" x14ac:dyDescent="0.2">
      <c r="A156" s="7">
        <v>55</v>
      </c>
      <c r="B156" s="13" t="s">
        <v>52</v>
      </c>
      <c r="C156" s="9">
        <f>+C157+C158+C159+C160</f>
        <v>520.90000000000009</v>
      </c>
      <c r="D156" s="10">
        <f t="shared" ref="D156:K156" si="97">+D157+D158+D159+D160</f>
        <v>13.4</v>
      </c>
      <c r="E156" s="10">
        <f t="shared" si="97"/>
        <v>0</v>
      </c>
      <c r="F156" s="10">
        <f t="shared" si="97"/>
        <v>502.8</v>
      </c>
      <c r="G156" s="10">
        <f t="shared" si="97"/>
        <v>0</v>
      </c>
      <c r="H156" s="10">
        <f t="shared" si="97"/>
        <v>0</v>
      </c>
      <c r="I156" s="10">
        <f t="shared" si="97"/>
        <v>0</v>
      </c>
      <c r="J156" s="10">
        <f t="shared" si="97"/>
        <v>0</v>
      </c>
      <c r="K156" s="10">
        <f t="shared" si="97"/>
        <v>4.7</v>
      </c>
    </row>
    <row r="157" spans="1:11" ht="13.5" customHeight="1" x14ac:dyDescent="0.2">
      <c r="A157" s="11" t="s">
        <v>163</v>
      </c>
      <c r="B157" s="18" t="s">
        <v>56</v>
      </c>
      <c r="C157" s="9">
        <f t="shared" si="86"/>
        <v>39.6</v>
      </c>
      <c r="D157" s="10">
        <v>5.0999999999999996</v>
      </c>
      <c r="E157" s="10"/>
      <c r="F157" s="10">
        <v>34.5</v>
      </c>
      <c r="G157" s="10"/>
      <c r="H157" s="10"/>
      <c r="I157" s="10"/>
      <c r="J157" s="10"/>
      <c r="K157" s="10"/>
    </row>
    <row r="158" spans="1:11" ht="13.5" customHeight="1" x14ac:dyDescent="0.2">
      <c r="A158" s="11" t="s">
        <v>165</v>
      </c>
      <c r="B158" s="18" t="s">
        <v>57</v>
      </c>
      <c r="C158" s="9">
        <f t="shared" si="86"/>
        <v>285.60000000000002</v>
      </c>
      <c r="D158" s="10"/>
      <c r="E158" s="10"/>
      <c r="F158" s="10">
        <v>285.60000000000002</v>
      </c>
      <c r="G158" s="10"/>
      <c r="H158" s="10"/>
      <c r="I158" s="10"/>
      <c r="J158" s="10"/>
      <c r="K158" s="10"/>
    </row>
    <row r="159" spans="1:11" ht="13.5" customHeight="1" x14ac:dyDescent="0.2">
      <c r="A159" s="11" t="s">
        <v>164</v>
      </c>
      <c r="B159" s="18" t="s">
        <v>58</v>
      </c>
      <c r="C159" s="9">
        <f t="shared" si="86"/>
        <v>8.3000000000000007</v>
      </c>
      <c r="D159" s="10">
        <v>8.3000000000000007</v>
      </c>
      <c r="E159" s="10"/>
      <c r="F159" s="10"/>
      <c r="G159" s="10"/>
      <c r="H159" s="10"/>
      <c r="I159" s="10"/>
      <c r="J159" s="10"/>
      <c r="K159" s="10"/>
    </row>
    <row r="160" spans="1:11" ht="13.5" customHeight="1" x14ac:dyDescent="0.2">
      <c r="A160" s="11" t="s">
        <v>166</v>
      </c>
      <c r="B160" s="19" t="s">
        <v>59</v>
      </c>
      <c r="C160" s="20">
        <f t="shared" si="86"/>
        <v>187.39999999999998</v>
      </c>
      <c r="D160" s="21"/>
      <c r="E160" s="21"/>
      <c r="F160" s="21">
        <v>182.7</v>
      </c>
      <c r="G160" s="21"/>
      <c r="H160" s="21"/>
      <c r="I160" s="21"/>
      <c r="J160" s="21"/>
      <c r="K160" s="21">
        <v>4.7</v>
      </c>
    </row>
    <row r="161" spans="1:15" x14ac:dyDescent="0.2">
      <c r="A161" s="7">
        <v>56</v>
      </c>
      <c r="B161" s="22" t="s">
        <v>68</v>
      </c>
      <c r="C161" s="23">
        <f>+C12+C14+C16+C18+C20+C22+C24+C26+C28+C30+C32+C34+C36+C38+C40+C42+C44+C46+C48+C50+C52+C54+C56+C58+C60+C62+C64+C66+C68+C70+C72+C74+C76+C78+C80+C82+C84+C86+C88+C91+C94+C96+C98+C100+C106+C110+C115+C120+C125+C131+C136+C141+C146+C151+C156</f>
        <v>134798.29999999999</v>
      </c>
      <c r="D161" s="23">
        <f t="shared" ref="D161:K161" si="98">+D12+D14+D16+D18+D20+D22+D24+D26+D28+D30+D32+D34+D36+D38+D40+D42+D44+D46+D48+D50+D52+D54+D56+D58+D60+D62+D64+D66+D68+D70+D72+D74+D76+D78+D80+D82+D84+D86+D88+D91+D94+D96+D98+D100+D106+D110+D115+D120+D125+D131+D136+D141+D146+D151+D156</f>
        <v>8521.7000000000007</v>
      </c>
      <c r="E161" s="23">
        <f t="shared" si="98"/>
        <v>28563.600000000006</v>
      </c>
      <c r="F161" s="23">
        <f t="shared" si="98"/>
        <v>72348.100000000006</v>
      </c>
      <c r="G161" s="23">
        <f t="shared" si="98"/>
        <v>10183.799999999999</v>
      </c>
      <c r="H161" s="23">
        <f t="shared" si="98"/>
        <v>5864</v>
      </c>
      <c r="I161" s="23">
        <f t="shared" si="98"/>
        <v>754.4</v>
      </c>
      <c r="J161" s="23">
        <f t="shared" si="98"/>
        <v>4375.2</v>
      </c>
      <c r="K161" s="23">
        <f t="shared" si="98"/>
        <v>4187.4999999999991</v>
      </c>
      <c r="L161" s="24"/>
      <c r="M161" s="24"/>
      <c r="N161" s="24"/>
      <c r="O161" s="24"/>
    </row>
    <row r="163" spans="1:15" ht="15" customHeight="1" x14ac:dyDescent="0.2">
      <c r="A163" s="64" t="s">
        <v>221</v>
      </c>
      <c r="B163" s="65"/>
      <c r="C163" s="65"/>
      <c r="D163" s="65"/>
      <c r="E163" s="65"/>
      <c r="F163" s="65"/>
      <c r="G163" s="65"/>
      <c r="H163" s="65"/>
      <c r="I163" s="65"/>
      <c r="J163" s="65"/>
      <c r="K163" s="66"/>
    </row>
    <row r="164" spans="1:15" ht="13.5" customHeight="1" x14ac:dyDescent="0.2">
      <c r="A164" s="68" t="s">
        <v>55</v>
      </c>
      <c r="B164" s="69"/>
      <c r="C164" s="9">
        <f>+C13+C15+C17+C19+C21+C23+C25+C27+C29+C31+C33+C35+C37+C39+C41+C43+C45+C47+C49+C51+C53+C55+C57+C59+C61+C63+C65+C67+C69+C71+C73+C75+C77+C79+C81+C89+C92+C101+C126</f>
        <v>65301.799999999996</v>
      </c>
      <c r="D164" s="10">
        <f t="shared" ref="D164:K164" si="99">+D13+D15+D17+D19+D21+D23+D25+D27+D29+D31+D33+D35+D37+D39+D41+D43+D45+D47+D49+D51+D53+D55+D57+D59+D61+D63+D65+D67+D69+D71+D73+D75+D77+D79+D81+D89+D92+D101+D126</f>
        <v>0</v>
      </c>
      <c r="E164" s="9">
        <f t="shared" si="99"/>
        <v>28563.600000000006</v>
      </c>
      <c r="F164" s="9">
        <f t="shared" si="99"/>
        <v>30198.899999999998</v>
      </c>
      <c r="G164" s="9">
        <f t="shared" si="99"/>
        <v>2360.5000000000005</v>
      </c>
      <c r="H164" s="9">
        <f t="shared" si="99"/>
        <v>1753</v>
      </c>
      <c r="I164" s="9">
        <f>+I13+I15+I17+I19+I21+I23+I25+I27+I29+I31+I33+I35+I37+I39+I41+I43+I45+I47+I49+I51+I53+I55+I57+I59+I61+I63+I65+I67+I69+I71+I73+I75+I77+I79+I81+I89+I92+I101+I126</f>
        <v>419.4</v>
      </c>
      <c r="J164" s="10">
        <f t="shared" si="99"/>
        <v>0</v>
      </c>
      <c r="K164" s="9">
        <f t="shared" si="99"/>
        <v>2006.4</v>
      </c>
    </row>
    <row r="165" spans="1:15" ht="13.5" customHeight="1" x14ac:dyDescent="0.2">
      <c r="A165" s="68" t="s">
        <v>56</v>
      </c>
      <c r="B165" s="69"/>
      <c r="C165" s="9">
        <f>+C83+C85+C87+C90+C93+C95+C97+C102+C107+C111+C116+C121+C127+C132+C137+C142+C147+C152+C157</f>
        <v>30706.899999999998</v>
      </c>
      <c r="D165" s="9">
        <f>+D83+D85+D87+D90+D93+D95+D97+D102+D107+D111+D116+D121+D127+D132+D137+D142+D147+D152+D157</f>
        <v>7595.800000000002</v>
      </c>
      <c r="E165" s="10">
        <f t="shared" ref="E165:J165" si="100">+E83+E85+E87+E90+E93+E95+E97+E102+E107+E111+E116+E121+E127+E132+E137+E142+E147+E152+E157</f>
        <v>0</v>
      </c>
      <c r="F165" s="9">
        <f t="shared" si="100"/>
        <v>16347.9</v>
      </c>
      <c r="G165" s="9">
        <f>+G83+G85+G87+G90+G93+G95+G97+G102+G107+G111+G116+G121+G127+G132+G137+G142+G147+G152+G157</f>
        <v>1717.9999999999998</v>
      </c>
      <c r="H165" s="9">
        <f t="shared" si="100"/>
        <v>2656</v>
      </c>
      <c r="I165" s="9">
        <f t="shared" si="100"/>
        <v>335</v>
      </c>
      <c r="J165" s="10">
        <f t="shared" si="100"/>
        <v>0</v>
      </c>
      <c r="K165" s="9">
        <f>+K83+K85+K87+K90+K93+K95+K97+K102+K107+K111+K116+K121+K127+K132+K137+K142+K147+K152+K157</f>
        <v>2054.1999999999998</v>
      </c>
    </row>
    <row r="166" spans="1:15" ht="13.5" customHeight="1" x14ac:dyDescent="0.2">
      <c r="A166" s="68" t="s">
        <v>57</v>
      </c>
      <c r="B166" s="69"/>
      <c r="C166" s="9">
        <f>+C103+C108+C112+C117+C122+C128+C133+C138+C143+C148+C153+C158</f>
        <v>20672.8</v>
      </c>
      <c r="D166" s="10">
        <f t="shared" ref="D166:K166" si="101">+D103+D108+D112+D117+D122+D128+D133+D138+D143+D148+D153+D158</f>
        <v>0</v>
      </c>
      <c r="E166" s="10">
        <f t="shared" si="101"/>
        <v>0</v>
      </c>
      <c r="F166" s="9">
        <f t="shared" si="101"/>
        <v>13827.800000000001</v>
      </c>
      <c r="G166" s="9">
        <f t="shared" si="101"/>
        <v>3485.9</v>
      </c>
      <c r="H166" s="9">
        <f t="shared" si="101"/>
        <v>1200</v>
      </c>
      <c r="I166" s="10">
        <f t="shared" si="101"/>
        <v>0</v>
      </c>
      <c r="J166" s="9">
        <f t="shared" si="101"/>
        <v>2142.1999999999998</v>
      </c>
      <c r="K166" s="9">
        <f t="shared" si="101"/>
        <v>16.899999999999999</v>
      </c>
    </row>
    <row r="167" spans="1:15" ht="13.5" customHeight="1" x14ac:dyDescent="0.2">
      <c r="A167" s="68" t="s">
        <v>58</v>
      </c>
      <c r="B167" s="69"/>
      <c r="C167" s="9">
        <f>+C104+C113+C118+C123+C134+C139+C149+C154+C159+C144+C129</f>
        <v>4961.7000000000007</v>
      </c>
      <c r="D167" s="9">
        <f t="shared" ref="D167:K167" si="102">+D104+D113+D118+D123+D134+D139+D149+D154+D159+D144+D129</f>
        <v>689.69999999999993</v>
      </c>
      <c r="E167" s="10">
        <f t="shared" si="102"/>
        <v>0</v>
      </c>
      <c r="F167" s="9">
        <f t="shared" si="102"/>
        <v>1397.6</v>
      </c>
      <c r="G167" s="9">
        <f t="shared" si="102"/>
        <v>2619.3999999999996</v>
      </c>
      <c r="H167" s="9">
        <f t="shared" si="102"/>
        <v>255</v>
      </c>
      <c r="I167" s="10">
        <f t="shared" si="102"/>
        <v>0</v>
      </c>
      <c r="J167" s="10">
        <f t="shared" si="102"/>
        <v>0</v>
      </c>
      <c r="K167" s="9">
        <f t="shared" si="102"/>
        <v>0</v>
      </c>
    </row>
    <row r="168" spans="1:15" ht="13.5" customHeight="1" x14ac:dyDescent="0.2">
      <c r="A168" s="70" t="s">
        <v>59</v>
      </c>
      <c r="B168" s="71"/>
      <c r="C168" s="9">
        <f>+C99+C105+C109+C114+C119+C124+C130+C135+C140+C145+C150+C155+C160</f>
        <v>13155.099999999997</v>
      </c>
      <c r="D168" s="9">
        <f>+D99+D105+D109+D114+D119+D124+D130+D135+D140+D145+D150+D155+D160</f>
        <v>236.2</v>
      </c>
      <c r="E168" s="10">
        <f t="shared" ref="E168:J168" si="103">+E99+E105+E109+E114+E119+E124+E130+E135+E140+E145+E150+E155+E160</f>
        <v>0</v>
      </c>
      <c r="F168" s="9">
        <f t="shared" si="103"/>
        <v>10575.900000000001</v>
      </c>
      <c r="G168" s="9">
        <f t="shared" si="103"/>
        <v>0</v>
      </c>
      <c r="H168" s="9">
        <f t="shared" si="103"/>
        <v>0</v>
      </c>
      <c r="I168" s="10">
        <f t="shared" si="103"/>
        <v>0</v>
      </c>
      <c r="J168" s="9">
        <f t="shared" si="103"/>
        <v>2233</v>
      </c>
      <c r="K168" s="9">
        <f>+K99+K105+K109+K114+K119+K124+K130+K135+K140+K145+K150+K155+K160</f>
        <v>110.00000000000001</v>
      </c>
    </row>
    <row r="169" spans="1:15" x14ac:dyDescent="0.2">
      <c r="A169" s="62" t="s">
        <v>68</v>
      </c>
      <c r="B169" s="63"/>
      <c r="C169" s="23">
        <f>SUM(C164:C168)</f>
        <v>134798.29999999999</v>
      </c>
      <c r="D169" s="23">
        <f t="shared" ref="D169:K169" si="104">SUM(D164:D168)</f>
        <v>8521.7000000000025</v>
      </c>
      <c r="E169" s="23">
        <f t="shared" si="104"/>
        <v>28563.600000000006</v>
      </c>
      <c r="F169" s="23">
        <f t="shared" si="104"/>
        <v>72348.100000000006</v>
      </c>
      <c r="G169" s="23">
        <f t="shared" si="104"/>
        <v>10183.799999999999</v>
      </c>
      <c r="H169" s="23">
        <f t="shared" si="104"/>
        <v>5864</v>
      </c>
      <c r="I169" s="23">
        <f t="shared" si="104"/>
        <v>754.4</v>
      </c>
      <c r="J169" s="23">
        <f t="shared" si="104"/>
        <v>4375.2</v>
      </c>
      <c r="K169" s="23">
        <f t="shared" si="104"/>
        <v>4187.5</v>
      </c>
    </row>
    <row r="171" spans="1:15" x14ac:dyDescent="0.2">
      <c r="C171" s="25"/>
    </row>
    <row r="172" spans="1:15" x14ac:dyDescent="0.2">
      <c r="D172" s="67" t="s">
        <v>210</v>
      </c>
      <c r="E172" s="67"/>
      <c r="F172" s="67"/>
      <c r="G172" s="67"/>
      <c r="H172" s="67"/>
    </row>
  </sheetData>
  <mergeCells count="21">
    <mergeCell ref="A169:B169"/>
    <mergeCell ref="A163:K163"/>
    <mergeCell ref="D172:H172"/>
    <mergeCell ref="A164:B164"/>
    <mergeCell ref="A165:B165"/>
    <mergeCell ref="A166:B166"/>
    <mergeCell ref="A167:B167"/>
    <mergeCell ref="A168:B168"/>
    <mergeCell ref="G2:K2"/>
    <mergeCell ref="G1:K1"/>
    <mergeCell ref="H5:K5"/>
    <mergeCell ref="A6:K6"/>
    <mergeCell ref="A8:A10"/>
    <mergeCell ref="B8:B10"/>
    <mergeCell ref="C8:C10"/>
    <mergeCell ref="D8:K8"/>
    <mergeCell ref="D9:D10"/>
    <mergeCell ref="E9:E10"/>
    <mergeCell ref="F9:K9"/>
    <mergeCell ref="G3:K3"/>
    <mergeCell ref="G4:K4"/>
  </mergeCells>
  <phoneticPr fontId="4" type="noConversion"/>
  <pageMargins left="0.70866141732283472" right="0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2</vt:i4>
      </vt:variant>
    </vt:vector>
  </HeadingPairs>
  <TitlesOfParts>
    <vt:vector size="4" baseType="lpstr">
      <vt:lpstr>1 priedas</vt:lpstr>
      <vt:lpstr>3 priedas</vt:lpstr>
      <vt:lpstr>'3 priedas'!Print_Area</vt:lpstr>
      <vt:lpstr>'3 priedas'!Print_Titles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 Vytienė</dc:creator>
  <cp:lastModifiedBy>Jolanta Sakavičienė</cp:lastModifiedBy>
  <cp:lastPrinted>2026-10-16T06:44:33Z</cp:lastPrinted>
  <dcterms:created xsi:type="dcterms:W3CDTF">2015-06-05T18:19:34Z</dcterms:created>
  <dcterms:modified xsi:type="dcterms:W3CDTF">2026-10-16T10:36:06Z</dcterms:modified>
</cp:coreProperties>
</file>