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iukiene\Desktop\"/>
    </mc:Choice>
  </mc:AlternateContent>
  <xr:revisionPtr revIDLastSave="0" documentId="13_ncr:1_{7AB77B60-E144-4E53-A8AC-3D0E8DA73D15}" xr6:coauthVersionLast="47" xr6:coauthVersionMax="47" xr10:uidLastSave="{00000000-0000-0000-0000-000000000000}"/>
  <bookViews>
    <workbookView xWindow="11130" yWindow="540" windowWidth="40545" windowHeight="19950" tabRatio="988" xr2:uid="{00000000-000D-0000-FFFF-FFFF00000000}"/>
  </bookViews>
  <sheets>
    <sheet name="01 Visuomenės ugdymo" sheetId="26" r:id="rId1"/>
    <sheet name="02 Socialinės gerovės" sheetId="27" r:id="rId2"/>
    <sheet name="03 Darnios aplinkos" sheetId="33" r:id="rId3"/>
    <sheet name="04 Ekonominės plėtros" sheetId="31" r:id="rId4"/>
    <sheet name="05 Valdymo " sheetId="36" r:id="rId5"/>
    <sheet name="Lešų poreikis iš viso" sheetId="40" r:id="rId6"/>
  </sheets>
  <definedNames>
    <definedName name="_xlnm._FilterDatabase" localSheetId="0" hidden="1">'01 Visuomenės ugdymo'!$B$19:$P$125</definedName>
    <definedName name="_xlnm._FilterDatabase" localSheetId="1" hidden="1">'02 Socialinės gerovės'!$A$8:$R$132</definedName>
    <definedName name="_xlnm._FilterDatabase" localSheetId="2" hidden="1">'03 Darnios aplinkos'!$7:$75</definedName>
    <definedName name="_xlnm._FilterDatabase" localSheetId="3" hidden="1">'04 Ekonominės plėtros'!$A$8:$N$41</definedName>
    <definedName name="_xlnm._FilterDatabase" localSheetId="4" hidden="1">'05 Valdymo '!$B$3:$I$43</definedName>
    <definedName name="_Hlk149118504" localSheetId="0">'01 Visuomenės ugdymo'!#REF!</definedName>
    <definedName name="_xlnm.Print_Area" localSheetId="0">'01 Visuomenės ugdymo'!$B$1:$P$129</definedName>
    <definedName name="_xlnm.Print_Area" localSheetId="1">'02 Socialinės gerovės'!$A$1:$P$136</definedName>
    <definedName name="_xlnm.Print_Area" localSheetId="2">'03 Darnios aplinkos'!$A$1:$P$78</definedName>
    <definedName name="_xlnm.Print_Area" localSheetId="3">'04 Ekonominės plėtros'!$A$1:$P$58</definedName>
    <definedName name="_xlnm.Print_Area" localSheetId="4">'05 Valdymo '!$A$1:$O$48</definedName>
    <definedName name="_xlnm.Print_Area" localSheetId="5">'Lešų poreikis iš viso'!$A$1:$I$24</definedName>
    <definedName name="_xlnm.Print_Titles" localSheetId="0">'01 Visuomenės ugdymo'!$15:$17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40" l="1"/>
  <c r="H5" i="40"/>
  <c r="H20" i="40"/>
  <c r="I53" i="31"/>
  <c r="P26" i="27"/>
  <c r="F131" i="27" l="1"/>
  <c r="G131" i="27"/>
  <c r="H131" i="27"/>
  <c r="E131" i="27"/>
  <c r="F126" i="27"/>
  <c r="G126" i="27"/>
  <c r="H126" i="27"/>
  <c r="E126" i="27"/>
  <c r="O8" i="36" l="1"/>
  <c r="O9" i="36"/>
  <c r="O10" i="36"/>
  <c r="O11" i="36"/>
  <c r="O12" i="36"/>
  <c r="O13" i="36"/>
  <c r="O14" i="36"/>
  <c r="O15" i="36"/>
  <c r="O16" i="36"/>
  <c r="O17" i="36"/>
  <c r="O18" i="36"/>
  <c r="O19" i="36"/>
  <c r="O20" i="36"/>
  <c r="O21" i="36"/>
  <c r="O22" i="36"/>
  <c r="O23" i="36"/>
  <c r="O24" i="36"/>
  <c r="O25" i="36"/>
  <c r="O26" i="36"/>
  <c r="O27" i="36"/>
  <c r="O28" i="36"/>
  <c r="O29" i="36"/>
  <c r="O30" i="36"/>
  <c r="O31" i="36"/>
  <c r="O7" i="36"/>
  <c r="F27" i="27" l="1"/>
  <c r="F129" i="27"/>
  <c r="G129" i="27"/>
  <c r="H129" i="27"/>
  <c r="E129" i="27"/>
  <c r="G123" i="27"/>
  <c r="G84" i="27"/>
  <c r="H84" i="27"/>
  <c r="E84" i="27"/>
  <c r="P102" i="27"/>
  <c r="F47" i="31" l="1"/>
  <c r="G47" i="31"/>
  <c r="H47" i="31"/>
  <c r="E47" i="31"/>
  <c r="E7" i="31"/>
  <c r="G124" i="27"/>
  <c r="H124" i="27"/>
  <c r="E124" i="27"/>
  <c r="F7" i="27"/>
  <c r="G7" i="27"/>
  <c r="H7" i="27"/>
  <c r="E7" i="27"/>
  <c r="P20" i="27"/>
  <c r="H27" i="27"/>
  <c r="F59" i="27" l="1"/>
  <c r="F19" i="26"/>
  <c r="F82" i="26"/>
  <c r="G116" i="26"/>
  <c r="H116" i="26"/>
  <c r="I65" i="33" l="1"/>
  <c r="P8" i="33"/>
  <c r="P9" i="33"/>
  <c r="P10" i="33"/>
  <c r="P11" i="33"/>
  <c r="P13" i="33"/>
  <c r="P14" i="33"/>
  <c r="P15" i="33"/>
  <c r="P16" i="33"/>
  <c r="P17" i="33"/>
  <c r="P18" i="33"/>
  <c r="P19" i="33"/>
  <c r="P22" i="33"/>
  <c r="P23" i="33"/>
  <c r="P24" i="33"/>
  <c r="P25" i="33"/>
  <c r="P26" i="33"/>
  <c r="P27" i="33"/>
  <c r="P28" i="33"/>
  <c r="P29" i="33"/>
  <c r="P31" i="33"/>
  <c r="P32" i="33"/>
  <c r="P33" i="33"/>
  <c r="P35" i="33"/>
  <c r="P36" i="33"/>
  <c r="P37" i="33"/>
  <c r="P38" i="33"/>
  <c r="P39" i="33"/>
  <c r="P40" i="33"/>
  <c r="P41" i="33"/>
  <c r="P42" i="33"/>
  <c r="P43" i="33"/>
  <c r="P46" i="33"/>
  <c r="P48" i="33"/>
  <c r="P49" i="33"/>
  <c r="P50" i="33"/>
  <c r="P51" i="33"/>
  <c r="P53" i="33"/>
  <c r="P54" i="33"/>
  <c r="P55" i="33"/>
  <c r="P57" i="33"/>
  <c r="P58" i="33"/>
  <c r="P59" i="33"/>
  <c r="P60" i="33"/>
  <c r="P7" i="33"/>
  <c r="F45" i="33"/>
  <c r="P45" i="33" s="1"/>
  <c r="F85" i="27"/>
  <c r="P92" i="27"/>
  <c r="I122" i="27"/>
  <c r="I127" i="27"/>
  <c r="I128" i="27"/>
  <c r="P9" i="27"/>
  <c r="P10" i="27"/>
  <c r="P11" i="27"/>
  <c r="P12" i="27"/>
  <c r="P13" i="27"/>
  <c r="P14" i="27"/>
  <c r="P15" i="27"/>
  <c r="P16" i="27"/>
  <c r="P17" i="27"/>
  <c r="P18" i="27"/>
  <c r="P19" i="27"/>
  <c r="P22" i="27"/>
  <c r="P23" i="27"/>
  <c r="P24" i="27"/>
  <c r="P25" i="27"/>
  <c r="P27" i="27"/>
  <c r="P28" i="27"/>
  <c r="P29" i="27"/>
  <c r="P31" i="27"/>
  <c r="P32" i="27"/>
  <c r="P34" i="27"/>
  <c r="P35" i="27"/>
  <c r="P36" i="27"/>
  <c r="P37" i="27"/>
  <c r="P38" i="27"/>
  <c r="P39" i="27"/>
  <c r="P41" i="27"/>
  <c r="P42" i="27"/>
  <c r="P43" i="27"/>
  <c r="P44" i="27"/>
  <c r="P45" i="27"/>
  <c r="P46" i="27"/>
  <c r="P47" i="27"/>
  <c r="P48" i="27"/>
  <c r="P49" i="27"/>
  <c r="P51" i="27"/>
  <c r="P52" i="27"/>
  <c r="P53" i="27"/>
  <c r="P54" i="27"/>
  <c r="P55" i="27"/>
  <c r="P56" i="27"/>
  <c r="P57" i="27"/>
  <c r="P61" i="27"/>
  <c r="P62" i="27"/>
  <c r="P63" i="27"/>
  <c r="P64" i="27"/>
  <c r="P65" i="27"/>
  <c r="P66" i="27"/>
  <c r="P67" i="27"/>
  <c r="P68" i="27"/>
  <c r="P69" i="27"/>
  <c r="P70" i="27"/>
  <c r="P71" i="27"/>
  <c r="P72" i="27"/>
  <c r="P73" i="27"/>
  <c r="P74" i="27"/>
  <c r="P75" i="27"/>
  <c r="P77" i="27"/>
  <c r="P78" i="27"/>
  <c r="P79" i="27"/>
  <c r="P80" i="27"/>
  <c r="P81" i="27"/>
  <c r="P82" i="27"/>
  <c r="P83" i="27"/>
  <c r="P86" i="27"/>
  <c r="P87" i="27"/>
  <c r="P88" i="27"/>
  <c r="P90" i="27"/>
  <c r="P91" i="27"/>
  <c r="P94" i="27"/>
  <c r="P95" i="27"/>
  <c r="P96" i="27"/>
  <c r="P97" i="27"/>
  <c r="P98" i="27"/>
  <c r="P99" i="27"/>
  <c r="P100" i="27"/>
  <c r="P101" i="27"/>
  <c r="P104" i="27"/>
  <c r="P105" i="27"/>
  <c r="P106" i="27"/>
  <c r="P107" i="27"/>
  <c r="P108" i="27"/>
  <c r="P109" i="27"/>
  <c r="P110" i="27"/>
  <c r="P111" i="27"/>
  <c r="P112" i="27"/>
  <c r="P113" i="27"/>
  <c r="P114" i="27"/>
  <c r="P115" i="27"/>
  <c r="P116" i="27"/>
  <c r="P117" i="27"/>
  <c r="P118" i="27"/>
  <c r="P8" i="27"/>
  <c r="F108" i="26"/>
  <c r="F68" i="26"/>
  <c r="P68" i="26" s="1"/>
  <c r="F7" i="31"/>
  <c r="G7" i="31"/>
  <c r="H7" i="31"/>
  <c r="E42" i="31"/>
  <c r="I45" i="31"/>
  <c r="I48" i="31"/>
  <c r="I50" i="31"/>
  <c r="I51" i="31"/>
  <c r="I52" i="31"/>
  <c r="P9" i="31"/>
  <c r="P10" i="31"/>
  <c r="P11" i="31"/>
  <c r="P12" i="31"/>
  <c r="P14" i="31"/>
  <c r="P15" i="31"/>
  <c r="P16" i="31"/>
  <c r="P17" i="31"/>
  <c r="P18" i="31"/>
  <c r="P19" i="31"/>
  <c r="P20" i="31"/>
  <c r="P21" i="31"/>
  <c r="P22" i="31"/>
  <c r="P24" i="31"/>
  <c r="P25" i="31"/>
  <c r="P26" i="31"/>
  <c r="P27" i="31"/>
  <c r="P28" i="31"/>
  <c r="P29" i="31"/>
  <c r="P30" i="31"/>
  <c r="P31" i="31"/>
  <c r="P32" i="31"/>
  <c r="P33" i="31"/>
  <c r="P34" i="31"/>
  <c r="P35" i="31"/>
  <c r="P36" i="31"/>
  <c r="P37" i="31"/>
  <c r="P38" i="31"/>
  <c r="P39" i="31"/>
  <c r="P40" i="31"/>
  <c r="P41" i="31"/>
  <c r="P8" i="31"/>
  <c r="P32" i="26"/>
  <c r="P34" i="26"/>
  <c r="P35" i="26"/>
  <c r="P36" i="26"/>
  <c r="P37" i="26"/>
  <c r="P42" i="26"/>
  <c r="P43" i="26"/>
  <c r="P44" i="26"/>
  <c r="P45" i="26"/>
  <c r="P46" i="26"/>
  <c r="P47" i="26"/>
  <c r="P48" i="26"/>
  <c r="P49" i="26"/>
  <c r="P51" i="26"/>
  <c r="P52" i="26"/>
  <c r="P53" i="26"/>
  <c r="P54" i="26"/>
  <c r="P55" i="26"/>
  <c r="P56" i="26"/>
  <c r="P57" i="26"/>
  <c r="P59" i="26"/>
  <c r="P61" i="26"/>
  <c r="P62" i="26"/>
  <c r="P63" i="26"/>
  <c r="P65" i="26"/>
  <c r="P66" i="26"/>
  <c r="P67" i="26"/>
  <c r="P69" i="26"/>
  <c r="P71" i="26"/>
  <c r="P72" i="26"/>
  <c r="P73" i="26"/>
  <c r="P75" i="26"/>
  <c r="P76" i="26"/>
  <c r="P78" i="26"/>
  <c r="P79" i="26"/>
  <c r="P80" i="26"/>
  <c r="P81" i="26"/>
  <c r="P83" i="26"/>
  <c r="P85" i="26"/>
  <c r="P86" i="26"/>
  <c r="P87" i="26"/>
  <c r="P89" i="26"/>
  <c r="P90" i="26"/>
  <c r="P91" i="26"/>
  <c r="P92" i="26"/>
  <c r="P95" i="26"/>
  <c r="P97" i="26"/>
  <c r="P98" i="26"/>
  <c r="P99" i="26"/>
  <c r="P100" i="26"/>
  <c r="P101" i="26"/>
  <c r="P102" i="26"/>
  <c r="P103" i="26"/>
  <c r="P104" i="26"/>
  <c r="P105" i="26"/>
  <c r="P106" i="26"/>
  <c r="P107" i="26"/>
  <c r="P109" i="26"/>
  <c r="P110" i="26"/>
  <c r="P111" i="26"/>
  <c r="P21" i="26"/>
  <c r="P23" i="26"/>
  <c r="P24" i="26"/>
  <c r="P25" i="26"/>
  <c r="P26" i="26"/>
  <c r="P27" i="26"/>
  <c r="P28" i="26"/>
  <c r="P29" i="26"/>
  <c r="P30" i="26"/>
  <c r="P85" i="27" l="1"/>
  <c r="F123" i="27"/>
  <c r="P108" i="26"/>
  <c r="F33" i="27"/>
  <c r="P33" i="27" s="1"/>
  <c r="F94" i="26"/>
  <c r="F88" i="26"/>
  <c r="P88" i="26" s="1"/>
  <c r="P94" i="26" l="1"/>
  <c r="F61" i="33" l="1"/>
  <c r="P61" i="33" s="1"/>
  <c r="P52" i="33"/>
  <c r="G39" i="26" l="1"/>
  <c r="F39" i="26"/>
  <c r="P39" i="26" s="1"/>
  <c r="F38" i="26"/>
  <c r="P38" i="26" s="1"/>
  <c r="F24" i="31" l="1"/>
  <c r="F21" i="33" l="1"/>
  <c r="P40" i="27" l="1"/>
  <c r="F60" i="27"/>
  <c r="P60" i="27" s="1"/>
  <c r="F93" i="27"/>
  <c r="F89" i="27"/>
  <c r="H26" i="27"/>
  <c r="H123" i="27" s="1"/>
  <c r="P89" i="27" l="1"/>
  <c r="F84" i="27"/>
  <c r="P93" i="27"/>
  <c r="F124" i="27"/>
  <c r="I124" i="27" s="1"/>
  <c r="I120" i="26"/>
  <c r="P82" i="26"/>
  <c r="P22" i="26"/>
  <c r="F41" i="26"/>
  <c r="P41" i="26" s="1"/>
  <c r="F77" i="26" l="1"/>
  <c r="F33" i="26"/>
  <c r="P33" i="26" s="1"/>
  <c r="P20" i="26"/>
  <c r="P77" i="26" l="1"/>
  <c r="F58" i="26"/>
  <c r="P58" i="26" s="1"/>
  <c r="F29" i="36" l="1"/>
  <c r="G29" i="36"/>
  <c r="H29" i="36"/>
  <c r="F23" i="36"/>
  <c r="G23" i="36"/>
  <c r="H23" i="36"/>
  <c r="F6" i="36"/>
  <c r="G6" i="36"/>
  <c r="H6" i="36"/>
  <c r="F17" i="36"/>
  <c r="F11" i="36"/>
  <c r="F35" i="31"/>
  <c r="G35" i="31"/>
  <c r="H35" i="31"/>
  <c r="F23" i="31"/>
  <c r="P23" i="31" s="1"/>
  <c r="G23" i="31"/>
  <c r="H23" i="31"/>
  <c r="F13" i="31"/>
  <c r="P13" i="31" s="1"/>
  <c r="G13" i="31"/>
  <c r="H13" i="31"/>
  <c r="F56" i="33"/>
  <c r="G56" i="33"/>
  <c r="H56" i="33"/>
  <c r="F47" i="33"/>
  <c r="G47" i="33"/>
  <c r="H47" i="33"/>
  <c r="F44" i="33"/>
  <c r="G44" i="33"/>
  <c r="H44" i="33"/>
  <c r="F34" i="33"/>
  <c r="G34" i="33"/>
  <c r="H34" i="33"/>
  <c r="F30" i="33"/>
  <c r="G30" i="33"/>
  <c r="H30" i="33"/>
  <c r="F20" i="33"/>
  <c r="G20" i="33"/>
  <c r="H20" i="33"/>
  <c r="F12" i="33"/>
  <c r="G12" i="33"/>
  <c r="H12" i="33"/>
  <c r="F6" i="33"/>
  <c r="G6" i="33"/>
  <c r="H6" i="33"/>
  <c r="F103" i="27"/>
  <c r="G103" i="27"/>
  <c r="H103" i="27"/>
  <c r="F76" i="27"/>
  <c r="G76" i="27"/>
  <c r="H76" i="27"/>
  <c r="G58" i="27"/>
  <c r="H58" i="27"/>
  <c r="F50" i="27"/>
  <c r="G50" i="27"/>
  <c r="H50" i="27"/>
  <c r="F30" i="27"/>
  <c r="G30" i="27"/>
  <c r="H30" i="27"/>
  <c r="F21" i="27"/>
  <c r="G21" i="27"/>
  <c r="H21" i="27"/>
  <c r="F60" i="26"/>
  <c r="G60" i="26"/>
  <c r="H60" i="26"/>
  <c r="F70" i="26"/>
  <c r="G70" i="26"/>
  <c r="H70" i="26"/>
  <c r="F74" i="26"/>
  <c r="F116" i="26" s="1"/>
  <c r="F16" i="40"/>
  <c r="G16" i="40"/>
  <c r="D8" i="40"/>
  <c r="F74" i="33"/>
  <c r="G74" i="33"/>
  <c r="H74" i="33"/>
  <c r="F72" i="33"/>
  <c r="G72" i="33"/>
  <c r="H72" i="33"/>
  <c r="F70" i="33"/>
  <c r="G70" i="33"/>
  <c r="H70" i="33"/>
  <c r="F69" i="33"/>
  <c r="G69" i="33"/>
  <c r="H69" i="33"/>
  <c r="F68" i="33"/>
  <c r="G68" i="33"/>
  <c r="H68" i="33"/>
  <c r="F67" i="33"/>
  <c r="G67" i="33"/>
  <c r="H67" i="33"/>
  <c r="F66" i="33"/>
  <c r="G66" i="33"/>
  <c r="H66" i="33"/>
  <c r="E47" i="33"/>
  <c r="E56" i="33"/>
  <c r="E74" i="33"/>
  <c r="E72" i="33"/>
  <c r="E70" i="33"/>
  <c r="D16" i="40" s="1"/>
  <c r="E69" i="33"/>
  <c r="E68" i="33"/>
  <c r="E67" i="33"/>
  <c r="H11" i="40" l="1"/>
  <c r="I70" i="33"/>
  <c r="I68" i="33"/>
  <c r="P47" i="33"/>
  <c r="I72" i="33"/>
  <c r="I69" i="33"/>
  <c r="P56" i="33"/>
  <c r="I74" i="33"/>
  <c r="I67" i="33"/>
  <c r="G64" i="33"/>
  <c r="G73" i="33" s="1"/>
  <c r="G75" i="33" s="1"/>
  <c r="F58" i="27"/>
  <c r="F119" i="27" s="1"/>
  <c r="G62" i="33"/>
  <c r="H62" i="33"/>
  <c r="G42" i="31"/>
  <c r="H42" i="31"/>
  <c r="F42" i="31"/>
  <c r="I42" i="31" s="1"/>
  <c r="F62" i="33"/>
  <c r="H119" i="27"/>
  <c r="G119" i="27"/>
  <c r="H64" i="33"/>
  <c r="H73" i="33" s="1"/>
  <c r="H75" i="33" s="1"/>
  <c r="F64" i="33"/>
  <c r="F6" i="40"/>
  <c r="G63" i="33" l="1"/>
  <c r="G6" i="40"/>
  <c r="H63" i="33"/>
  <c r="F63" i="33"/>
  <c r="E6" i="40"/>
  <c r="F73" i="33"/>
  <c r="E6" i="33"/>
  <c r="XEZ7" i="33"/>
  <c r="E12" i="33"/>
  <c r="P12" i="33" s="1"/>
  <c r="E21" i="33"/>
  <c r="E30" i="33"/>
  <c r="P30" i="33" s="1"/>
  <c r="E34" i="33"/>
  <c r="P34" i="33" s="1"/>
  <c r="E44" i="33"/>
  <c r="G44" i="36"/>
  <c r="H44" i="36"/>
  <c r="G42" i="36"/>
  <c r="H42" i="36"/>
  <c r="F39" i="36"/>
  <c r="E16" i="40" s="1"/>
  <c r="H16" i="40" s="1"/>
  <c r="G39" i="36"/>
  <c r="H39" i="36"/>
  <c r="F37" i="36"/>
  <c r="G37" i="36"/>
  <c r="H37" i="36"/>
  <c r="F36" i="36"/>
  <c r="F33" i="36" s="1"/>
  <c r="F42" i="36" s="1"/>
  <c r="G36" i="36"/>
  <c r="H36" i="36"/>
  <c r="F35" i="36"/>
  <c r="G35" i="36"/>
  <c r="H35" i="36"/>
  <c r="G33" i="36"/>
  <c r="F31" i="36"/>
  <c r="E8" i="40" s="1"/>
  <c r="H8" i="40" s="1"/>
  <c r="G31" i="36"/>
  <c r="F8" i="40" s="1"/>
  <c r="H31" i="36"/>
  <c r="G8" i="40" s="1"/>
  <c r="F54" i="31"/>
  <c r="G54" i="31"/>
  <c r="H54" i="31"/>
  <c r="F49" i="31"/>
  <c r="I49" i="31" s="1"/>
  <c r="G49" i="31"/>
  <c r="H49" i="31"/>
  <c r="I47" i="31"/>
  <c r="F46" i="31"/>
  <c r="I46" i="31" s="1"/>
  <c r="G46" i="31"/>
  <c r="H46" i="31"/>
  <c r="E7" i="40"/>
  <c r="F7" i="40"/>
  <c r="G7" i="40"/>
  <c r="F125" i="27"/>
  <c r="G125" i="27"/>
  <c r="H125" i="27"/>
  <c r="E5" i="40"/>
  <c r="F5" i="40"/>
  <c r="G5" i="40"/>
  <c r="F124" i="26"/>
  <c r="G124" i="26"/>
  <c r="H124" i="26"/>
  <c r="F122" i="26"/>
  <c r="G122" i="26"/>
  <c r="F18" i="40" s="1"/>
  <c r="H122" i="26"/>
  <c r="G18" i="40" s="1"/>
  <c r="F121" i="26"/>
  <c r="G121" i="26"/>
  <c r="F17" i="40" s="1"/>
  <c r="H121" i="26"/>
  <c r="G17" i="40" s="1"/>
  <c r="F119" i="26"/>
  <c r="G119" i="26"/>
  <c r="H119" i="26"/>
  <c r="F118" i="26"/>
  <c r="G118" i="26"/>
  <c r="H118" i="26"/>
  <c r="F117" i="26"/>
  <c r="G117" i="26"/>
  <c r="H117" i="26"/>
  <c r="F18" i="26"/>
  <c r="G18" i="26"/>
  <c r="H18" i="26"/>
  <c r="F31" i="26"/>
  <c r="G31" i="26"/>
  <c r="H31" i="26"/>
  <c r="F40" i="26"/>
  <c r="G40" i="26"/>
  <c r="H40" i="26"/>
  <c r="F50" i="26"/>
  <c r="G50" i="26"/>
  <c r="H50" i="26"/>
  <c r="F64" i="26"/>
  <c r="G64" i="26"/>
  <c r="H64" i="26"/>
  <c r="F84" i="26"/>
  <c r="G84" i="26"/>
  <c r="H84" i="26"/>
  <c r="F93" i="26"/>
  <c r="G93" i="26"/>
  <c r="H93" i="26"/>
  <c r="F96" i="26"/>
  <c r="G96" i="26"/>
  <c r="H96" i="26"/>
  <c r="I96" i="26"/>
  <c r="E17" i="36"/>
  <c r="E11" i="36"/>
  <c r="P21" i="33" l="1"/>
  <c r="E66" i="33"/>
  <c r="P44" i="33"/>
  <c r="E12" i="40"/>
  <c r="G12" i="40"/>
  <c r="F12" i="40"/>
  <c r="F15" i="40"/>
  <c r="E17" i="40"/>
  <c r="G44" i="31"/>
  <c r="F14" i="40"/>
  <c r="F44" i="31"/>
  <c r="F43" i="31" s="1"/>
  <c r="E20" i="40"/>
  <c r="G14" i="40"/>
  <c r="G20" i="40"/>
  <c r="G121" i="27"/>
  <c r="F20" i="40"/>
  <c r="F121" i="27"/>
  <c r="F120" i="27" s="1"/>
  <c r="H121" i="27"/>
  <c r="F13" i="40"/>
  <c r="G15" i="40"/>
  <c r="G114" i="26"/>
  <c r="G123" i="26" s="1"/>
  <c r="G125" i="26" s="1"/>
  <c r="H44" i="31"/>
  <c r="H43" i="31" s="1"/>
  <c r="G13" i="40"/>
  <c r="E15" i="40"/>
  <c r="E18" i="40"/>
  <c r="E13" i="40"/>
  <c r="F112" i="26"/>
  <c r="F114" i="26"/>
  <c r="E14" i="40"/>
  <c r="E20" i="33"/>
  <c r="P20" i="33" s="1"/>
  <c r="H33" i="36"/>
  <c r="H114" i="26"/>
  <c r="H123" i="26" s="1"/>
  <c r="H125" i="26" s="1"/>
  <c r="E124" i="26"/>
  <c r="E64" i="33" l="1"/>
  <c r="I66" i="33"/>
  <c r="G53" i="31"/>
  <c r="G43" i="31"/>
  <c r="E62" i="33"/>
  <c r="H130" i="27"/>
  <c r="H120" i="27"/>
  <c r="G130" i="27"/>
  <c r="G132" i="27" s="1"/>
  <c r="G120" i="27"/>
  <c r="F113" i="26"/>
  <c r="F130" i="27"/>
  <c r="F53" i="31"/>
  <c r="G55" i="31" s="1"/>
  <c r="E10" i="40"/>
  <c r="F10" i="40"/>
  <c r="G10" i="40"/>
  <c r="H53" i="31"/>
  <c r="E4" i="40"/>
  <c r="F123" i="26"/>
  <c r="E35" i="36"/>
  <c r="E54" i="31"/>
  <c r="I126" i="27"/>
  <c r="H55" i="31" l="1"/>
  <c r="E73" i="33"/>
  <c r="I64" i="33"/>
  <c r="E63" i="33"/>
  <c r="I63" i="33" s="1"/>
  <c r="E9" i="40"/>
  <c r="F19" i="40"/>
  <c r="G19" i="40"/>
  <c r="D6" i="40"/>
  <c r="H6" i="40" s="1"/>
  <c r="I62" i="33"/>
  <c r="H132" i="27"/>
  <c r="E19" i="40"/>
  <c r="D20" i="40"/>
  <c r="E49" i="31"/>
  <c r="E46" i="31"/>
  <c r="G21" i="40" l="1"/>
  <c r="E75" i="33"/>
  <c r="I73" i="33"/>
  <c r="F21" i="40"/>
  <c r="E59" i="27"/>
  <c r="E123" i="27" s="1"/>
  <c r="I123" i="27" l="1"/>
  <c r="P59" i="27"/>
  <c r="E58" i="27"/>
  <c r="P58" i="27" s="1"/>
  <c r="E76" i="27"/>
  <c r="P76" i="27" s="1"/>
  <c r="E6" i="36" l="1"/>
  <c r="E23" i="36"/>
  <c r="E96" i="26"/>
  <c r="P96" i="26" s="1"/>
  <c r="E84" i="26"/>
  <c r="P84" i="26" s="1"/>
  <c r="E40" i="26"/>
  <c r="P40" i="26" s="1"/>
  <c r="E29" i="36" l="1"/>
  <c r="E31" i="36" s="1"/>
  <c r="I129" i="27"/>
  <c r="E125" i="27"/>
  <c r="I125" i="27" s="1"/>
  <c r="E21" i="27"/>
  <c r="P21" i="27" s="1"/>
  <c r="E30" i="27"/>
  <c r="P30" i="27" s="1"/>
  <c r="E50" i="27"/>
  <c r="P50" i="27" s="1"/>
  <c r="P84" i="27"/>
  <c r="E103" i="27"/>
  <c r="P103" i="27" s="1"/>
  <c r="E119" i="27" l="1"/>
  <c r="D5" i="40" l="1"/>
  <c r="I119" i="27"/>
  <c r="E74" i="26"/>
  <c r="E116" i="26" l="1"/>
  <c r="P74" i="26"/>
  <c r="I116" i="26"/>
  <c r="D12" i="40"/>
  <c r="H12" i="40" s="1"/>
  <c r="E19" i="26"/>
  <c r="E117" i="26" l="1"/>
  <c r="P19" i="26"/>
  <c r="D13" i="40"/>
  <c r="H13" i="40" s="1"/>
  <c r="I117" i="26"/>
  <c r="E23" i="31"/>
  <c r="E122" i="26" l="1"/>
  <c r="E119" i="26"/>
  <c r="E118" i="26"/>
  <c r="E93" i="26"/>
  <c r="P93" i="26" s="1"/>
  <c r="G112" i="26"/>
  <c r="H112" i="26"/>
  <c r="E64" i="26"/>
  <c r="P64" i="26" s="1"/>
  <c r="E60" i="26"/>
  <c r="P60" i="26" s="1"/>
  <c r="E50" i="26"/>
  <c r="P50" i="26" s="1"/>
  <c r="E31" i="26"/>
  <c r="P31" i="26" s="1"/>
  <c r="E18" i="26"/>
  <c r="G4" i="40" l="1"/>
  <c r="G9" i="40" s="1"/>
  <c r="H113" i="26"/>
  <c r="F4" i="40"/>
  <c r="F9" i="40" s="1"/>
  <c r="G113" i="26"/>
  <c r="D14" i="40"/>
  <c r="H14" i="40" s="1"/>
  <c r="I118" i="26"/>
  <c r="D15" i="40"/>
  <c r="H15" i="40" s="1"/>
  <c r="I119" i="26"/>
  <c r="D18" i="40"/>
  <c r="H18" i="40" s="1"/>
  <c r="I122" i="26"/>
  <c r="E70" i="26"/>
  <c r="E112" i="26" l="1"/>
  <c r="P70" i="26"/>
  <c r="E35" i="31"/>
  <c r="E13" i="31"/>
  <c r="E39" i="36"/>
  <c r="E37" i="36"/>
  <c r="E36" i="36"/>
  <c r="D4" i="40" l="1"/>
  <c r="P112" i="26"/>
  <c r="E121" i="27"/>
  <c r="D7" i="40"/>
  <c r="H7" i="40" s="1"/>
  <c r="E44" i="31"/>
  <c r="E33" i="36"/>
  <c r="D9" i="40" l="1"/>
  <c r="H9" i="40" s="1"/>
  <c r="E53" i="31"/>
  <c r="E43" i="31"/>
  <c r="I43" i="31" s="1"/>
  <c r="I44" i="31"/>
  <c r="I121" i="27"/>
  <c r="E120" i="27"/>
  <c r="E42" i="36"/>
  <c r="E44" i="36" s="1"/>
  <c r="E130" i="27"/>
  <c r="E55" i="31" l="1"/>
  <c r="E132" i="27"/>
  <c r="I130" i="27"/>
  <c r="E121" i="26"/>
  <c r="I121" i="26" l="1"/>
  <c r="D17" i="40"/>
  <c r="H17" i="40" s="1"/>
  <c r="E114" i="26"/>
  <c r="D10" i="40" l="1"/>
  <c r="H10" i="40" s="1"/>
  <c r="I114" i="26"/>
  <c r="E113" i="26"/>
  <c r="E123" i="26"/>
  <c r="I123" i="26" s="1"/>
  <c r="E125" i="26" l="1"/>
  <c r="D19" i="40"/>
  <c r="H19" i="40" s="1"/>
</calcChain>
</file>

<file path=xl/sharedStrings.xml><?xml version="1.0" encoding="utf-8"?>
<sst xmlns="http://schemas.openxmlformats.org/spreadsheetml/2006/main" count="2113" uniqueCount="1099">
  <si>
    <t>SB</t>
  </si>
  <si>
    <t>ES</t>
  </si>
  <si>
    <t>SK</t>
  </si>
  <si>
    <t>SBVB</t>
  </si>
  <si>
    <t>ĮP</t>
  </si>
  <si>
    <t>Užtikrinti finansavimą nenumatytoms išlaidoms dengti bei valdyti prisiimtus finansinius įsipareigojimus</t>
  </si>
  <si>
    <t>01</t>
  </si>
  <si>
    <t>02</t>
  </si>
  <si>
    <t>03</t>
  </si>
  <si>
    <t>04</t>
  </si>
  <si>
    <t>05</t>
  </si>
  <si>
    <t>Plėtoti, atnaujinti viešąją infrastruktūrą, atsižvelgiant į turizmo plėtros ir rekreacijos poreikius</t>
  </si>
  <si>
    <t>Išsaugoti istorinį bei kultūros paveldą, didinti jo patrauklumą ir žinomumą</t>
  </si>
  <si>
    <t>Gerinti socialinę aplinką ir didinti socialinės paramos įvairovę</t>
  </si>
  <si>
    <t>002-01-01-01 (TP)</t>
  </si>
  <si>
    <t>Neveiksniais pripažintų asmenų būklės peržiūrėjimas</t>
  </si>
  <si>
    <t>002-01-01-02 (TP)</t>
  </si>
  <si>
    <t>02-01-02 (T, P)</t>
  </si>
  <si>
    <t>002-01-03-01 (TP)</t>
  </si>
  <si>
    <t>002-01-03-02 (TP)</t>
  </si>
  <si>
    <t>002-01-03-03 (TP)</t>
  </si>
  <si>
    <t xml:space="preserve">Modernizuoti ir atnaujinti sveikatos priežiūros įstaigų infrastruktūrą sveikatos gerinimo poreikiams </t>
  </si>
  <si>
    <t>002-01-04-01 (TP)</t>
  </si>
  <si>
    <t>002-01-04-02 (TP)</t>
  </si>
  <si>
    <t>002-01-04-03 (TP)</t>
  </si>
  <si>
    <t>002-01-04-04 (TP)</t>
  </si>
  <si>
    <t>002-01-04-05 (TP)</t>
  </si>
  <si>
    <t>Programos uždavinio, priemonės kodas ir požymis</t>
  </si>
  <si>
    <t xml:space="preserve"> 2026 m. asignavimai ir kitos lėšos</t>
  </si>
  <si>
    <t>Organizuoti Lietuvos Respublikos teisės aktuose numatytos paramos bei paslaugų asmenims ir šeimoms teikimą, skatinti socialinę integraciją</t>
  </si>
  <si>
    <t>003-01-01 (T)</t>
  </si>
  <si>
    <t>003-01-01-01 (TP)</t>
  </si>
  <si>
    <t>Nemokamo socialiai remtinų vaikų maitinimo ikimokyklinėse įstaigose organizavimas</t>
  </si>
  <si>
    <t>Būsto nuomos ar išperkamosios būsto nuomos mokesčių dalies kompensavimas</t>
  </si>
  <si>
    <t>Kelionės išlaidų už lengvatinį keleivių vežimą kompensavimas</t>
  </si>
  <si>
    <t>Lietuvos Respublikos piniginės socialinės paramos nepasiturintiems gyventojams įstatymo įgyvendinimo užtikrinimas</t>
  </si>
  <si>
    <t>003-01-01-03 (TP)</t>
  </si>
  <si>
    <t>003-01-01-04 (TP)</t>
  </si>
  <si>
    <t>003-01-02 (T)</t>
  </si>
  <si>
    <t>Kainų skirtumo gyventojams už šildymą kompensavimas</t>
  </si>
  <si>
    <t>Karšto ir šalto vandens pardavimo kainos socialiai remtiniems asmenims kompensavimas</t>
  </si>
  <si>
    <t>Vienkartinė išmoka gimus vaikui Lietuvos Respublikos teritorijoje ir gyvenančiam Kėdainių rajono savivaldybėje</t>
  </si>
  <si>
    <t>Socialinių įstaigų  darbuotojų važiavimo į/iš darbo išlaidų kompensavimas</t>
  </si>
  <si>
    <t>003-01-02-01 (TP)</t>
  </si>
  <si>
    <t>003-01-02-04 (TP)</t>
  </si>
  <si>
    <t>003-01-03-01 (TP)</t>
  </si>
  <si>
    <t>003-01-03-02 (TP)</t>
  </si>
  <si>
    <t>003-01-03-03 (TP)</t>
  </si>
  <si>
    <t>003-01-03-05 (TP)</t>
  </si>
  <si>
    <t>Socialinių dirbtuvių paslaugos organizavimas</t>
  </si>
  <si>
    <t>Socialinės globos asmenims su sunkia negalia teikimas</t>
  </si>
  <si>
    <t xml:space="preserve">Asmeninės pagalbos teikimas ir administravimas </t>
  </si>
  <si>
    <t>003-01-04-01 (TP)</t>
  </si>
  <si>
    <t>Kompleksinės pagalbos šeimoms ir asmenims teikimas</t>
  </si>
  <si>
    <t>003-01-04-02 (TP)</t>
  </si>
  <si>
    <t>003-01-04-03 (TP)</t>
  </si>
  <si>
    <t>Globos šeimoje skatinimas, pagalbos globėjams ir vaikams teikimas</t>
  </si>
  <si>
    <t>Kėdainių rajono savivaldybės užimtumo didinimo programos įgyvendinimas</t>
  </si>
  <si>
    <t>Savivaldybės ir socialinio būsto remontas</t>
  </si>
  <si>
    <t>Socialinės priežiūros šeimoms, patiriančioms socialinę riziką, teikimas</t>
  </si>
  <si>
    <t>Viešosios aplinkos pritaikymas specialiųjų poreikių turintiems gyventojams</t>
  </si>
  <si>
    <t>003-01-05-03 (TP)</t>
  </si>
  <si>
    <t>003-01-05-04 (TP)</t>
  </si>
  <si>
    <t>003-01-05-05 (TP)</t>
  </si>
  <si>
    <t>Modernizuoti socialines paslaugas teikiančių įstaigų ir socialinio būsto infrastruktūrą, didinant gyventojų socialinę gerovę</t>
  </si>
  <si>
    <t>004-01-02 (T)</t>
  </si>
  <si>
    <t>004-01-04 (T)</t>
  </si>
  <si>
    <t>004-01-03 (T)</t>
  </si>
  <si>
    <t>Uždavinio, priemonės pavadinimas, finansavimo šaltiniai</t>
  </si>
  <si>
    <t>Kultūros įstaigų  darbuotojų važiavimo į/iš darbo išlaidų kompensavimas</t>
  </si>
  <si>
    <t>005-01-01 (T)</t>
  </si>
  <si>
    <t>Mikalojaus Daukšos viešosios bibliotekos bei jos filialų veiklos užtikrinimas, gyventojų  informacinių, edukacinių, kultūrinių, skaitymo, komunikacinių  poreikių ugdymas</t>
  </si>
  <si>
    <t>Kultūros centrų ir jų skyrių veiklos  užtikrinimas, krašto bendruomenės įtraukimas dalyvauti organizuojamuose renginiuose</t>
  </si>
  <si>
    <t>Kultūrinių veiklos projektų finansavimas</t>
  </si>
  <si>
    <t>005-01-02 (T)</t>
  </si>
  <si>
    <t>005-01-03 (T)</t>
  </si>
  <si>
    <t>Savivaldybės mero rezervas</t>
  </si>
  <si>
    <t>Savivaldybės mero fondas</t>
  </si>
  <si>
    <t>Savivaldybės priešgaisrinės tarnybos veiklos užtikrinimas, infrastruktūros modernizavimas</t>
  </si>
  <si>
    <t>Dalyvavimas  rengiant ir vykdant mobilizaciją, demobilizaciją, priimančiosios šalies paramą</t>
  </si>
  <si>
    <t>Savivaldybės kontrolės ir audito tarnybos veiklos užtikrinimas</t>
  </si>
  <si>
    <t>001-01-01 (T)</t>
  </si>
  <si>
    <t>004-01-01-01 (TP)</t>
  </si>
  <si>
    <t>004-01-01-02 (TP)</t>
  </si>
  <si>
    <t>004-01-02-01 (TP)</t>
  </si>
  <si>
    <t>004-01-02-02 (TP)</t>
  </si>
  <si>
    <t>004-01-02-03 (TP)</t>
  </si>
  <si>
    <t>004-01-02-04 (TP)</t>
  </si>
  <si>
    <t>004-01-02-05 (TP)</t>
  </si>
  <si>
    <t>004-01-02-06 (TP)</t>
  </si>
  <si>
    <t>004-01-02-07 (TP)</t>
  </si>
  <si>
    <t>004-01-04-04 (TP)</t>
  </si>
  <si>
    <t>004-01-04-05 (TP)</t>
  </si>
  <si>
    <t>005-01-02-03 (TP)</t>
  </si>
  <si>
    <t>005-01-02-02 (TP)</t>
  </si>
  <si>
    <t>005-01-01-04 (TP)</t>
  </si>
  <si>
    <t>005-01-01-03 (TP)</t>
  </si>
  <si>
    <t>005-01-01-02 (TP)</t>
  </si>
  <si>
    <t>005-01-01-01 (TP)</t>
  </si>
  <si>
    <t xml:space="preserve">Švietimo programų įgyvendinimas ir  tinkamos  ugdymo(si) aplinkos užtikrinimas </t>
  </si>
  <si>
    <t>Krakių kultūros centro patalpų dalies pritaikymas kultūros reikmėms</t>
  </si>
  <si>
    <t>Užtikrinti neformaliojo ugdymo dermę</t>
  </si>
  <si>
    <t>001-01-01-01 (TP)</t>
  </si>
  <si>
    <t>001-01-02-01 (TP)</t>
  </si>
  <si>
    <t>001-01-03 (T)</t>
  </si>
  <si>
    <t>001-01-02 (T, P)</t>
  </si>
  <si>
    <t>001-01-03-04 (PP)</t>
  </si>
  <si>
    <t>001-01-03-01 (TP)</t>
  </si>
  <si>
    <t>001-01-03-02 (PP)</t>
  </si>
  <si>
    <t>001-01-03-03 (PP)</t>
  </si>
  <si>
    <t>Kvalifikuotos švietimo pagalbos mokiniui, mokytojui, mokyklai teikimas</t>
  </si>
  <si>
    <t>001-01-04 (T)</t>
  </si>
  <si>
    <t>001-01-04-01 (TP)</t>
  </si>
  <si>
    <t>Gabių mokinių skatinimas</t>
  </si>
  <si>
    <t>Socialinio - emocinio ugdymo programų vykdymas</t>
  </si>
  <si>
    <t>001-01-04-04 (TP)</t>
  </si>
  <si>
    <t>001-01-04-03 (TP)</t>
  </si>
  <si>
    <t>001-01-04-02 (TP)</t>
  </si>
  <si>
    <t>001-01-05-01 (TP)</t>
  </si>
  <si>
    <t>001-01-05-02 (TP)</t>
  </si>
  <si>
    <t>Priklausomybę sukeliančių medžiagų vartojimo mažinimo ir prevencijos programos priemonių įgyvendinimas</t>
  </si>
  <si>
    <t>001-01-06 (T)</t>
  </si>
  <si>
    <t>001-01-06-01 (TP)</t>
  </si>
  <si>
    <t>Skaitmeninio ugdymo plėtra</t>
  </si>
  <si>
    <t xml:space="preserve">Valstybės perduotų savivaldybėms žemės ūkio funkcijų vykdymas, konsultuojant rajono asmenis ūkininkavimo, žemės ūkio technikos registravimo ir kitais su žemės ūkiu susijusiais klausimais </t>
  </si>
  <si>
    <t>Hidrotechninių įrenginių atnaujinimui reikalingos techninės dokumentacijos rengimas</t>
  </si>
  <si>
    <t xml:space="preserve">Šėtos gimnazijos I aukšto patalpų  bei gimnazijos aplinkos pritaikymas ikimokyklinio / priešmokyklinio ugdymo organizavimui       </t>
  </si>
  <si>
    <t>Atliekų tvarkymo sistemos organizavimas</t>
  </si>
  <si>
    <t xml:space="preserve">Bendro naudojimo teritorijų tvarkymas ir priežiūra seniūnijose, teritorijų priežiūrai reikalingos įrangos įsigijimas </t>
  </si>
  <si>
    <t xml:space="preserve">Apleistų (bešeimininkių ar savivaldybei nuosavybės teise priklausančių) pastatų ar kitų aplinką žalojančių objektų likvidavimas </t>
  </si>
  <si>
    <t>Kultūros paveldo objektų, esančių Kėdainių rajono savivaldybės teritorijoje, ir kultūros paveldo statinių, esančių Kėdainių senamiesčio dalyje, išsaugojimo darbų finansavimo programa</t>
  </si>
  <si>
    <t xml:space="preserve">Užtikrinti inžinerinio aprūpinimo (vandentiekio, nuotekų tinklų ir kt.) sistemų atnaujinimą ir plėtrą </t>
  </si>
  <si>
    <t>Gerinti susisiekimo infrastruktūrą, užtikrinant gyventojų darnų judumą bei mobilumą</t>
  </si>
  <si>
    <t>Seniūnaičių veiklos organizavimas</t>
  </si>
  <si>
    <t xml:space="preserve">Savivaldybės administracijos veiklos užtikrinimas </t>
  </si>
  <si>
    <t>Seniūnijų veiklos užtikrinimas</t>
  </si>
  <si>
    <t>Savivaldybės administracijos administracinės naštos mažinimo plano vykdymas</t>
  </si>
  <si>
    <t>Savivaldybės žmogiškųjų išteklių kompetencijų stiprinimas</t>
  </si>
  <si>
    <t>Diasporos politikos įgyvendinimas</t>
  </si>
  <si>
    <t>Kėdainių rajono savivaldybės administracijos kokybės vadybos sistemos priežiūra ir atnaujinimas</t>
  </si>
  <si>
    <t>Biudžetinių įstaigų kiemų dangos atnaujinimas</t>
  </si>
  <si>
    <t xml:space="preserve">Eil. Nr. </t>
  </si>
  <si>
    <t>Programos kodas ir pavadinimas</t>
  </si>
  <si>
    <t>1. Savivaldybės biudžetas (įskaitant skolintas lėšas)</t>
  </si>
  <si>
    <t>Iš jo:</t>
  </si>
  <si>
    <t>1.1. savivaldybės biudžeto lėšos (nuosavos, be ankstesnių metų likučio)</t>
  </si>
  <si>
    <t>1.2. Lietuvos Respublikos valstybės biudžeto dotacijos</t>
  </si>
  <si>
    <t>1.3. Pajamų įmokos ir kitos pajamos</t>
  </si>
  <si>
    <t>1.4. Europos Sąjungos ir kitos tarptautinės finansinės paramos lėšos</t>
  </si>
  <si>
    <t>1.5. Skolintos lėšos</t>
  </si>
  <si>
    <t>1.6. Ankstesnių metų likučiai</t>
  </si>
  <si>
    <t>2. Kiti šaltiniai (Europos Sąjungos finansinė parama projektams įgyvendinti ir kitos teisėtai gautos lėšos, nurodant atskirus šaltinius)</t>
  </si>
  <si>
    <t>Iš jų: regioninių pažangos priemonių lėšos</t>
  </si>
  <si>
    <t>IŠ VISO programai finansuoti pagal finansavimo šaltinius (1 ir 2 punktai)</t>
  </si>
  <si>
    <t>SBL</t>
  </si>
  <si>
    <t>KT</t>
  </si>
  <si>
    <t>Išmokos pagal savivaldybės  infrastruktūros plėtros sutartis (SĮP)</t>
  </si>
  <si>
    <t>Socialinių būstų įsigijimas</t>
  </si>
  <si>
    <t>1.1. savivaldybės biudžeto lėšos (nuosavos, be ankstesnių metų likučio)  SB</t>
  </si>
  <si>
    <t>1.2. Lietuvos Respublikos valstybės biudžeto dotacijos   SBVB</t>
  </si>
  <si>
    <t>1.3. Pajamų įmokos ir kitos pajamos  ĮP</t>
  </si>
  <si>
    <t>1.4. Europos Sąjungos ir kitos tarptautinės finansinės paramos lėšos ES</t>
  </si>
  <si>
    <t>1.5. Skolintos lėšos SK</t>
  </si>
  <si>
    <t>1.6. Ankstesnių metų likučiai  SBL</t>
  </si>
  <si>
    <t>2. Kiti šaltiniai (Europos Sąjungos finansinė parama projektams įgyvendinti ir kitos teisėtai gautos lėšos, nurodant atskirus šaltinius)  KT</t>
  </si>
  <si>
    <t xml:space="preserve">Iš jų: regioninių pažangos priemonių lėšos </t>
  </si>
  <si>
    <t>Savivaldybės tarybos, mero ir jo tarnybos veiklos užtikrinimas</t>
  </si>
  <si>
    <t xml:space="preserve">Visuomenės įtraukimas į planavimo, biudžeto formavimo, konsultavimosi procesus, organizuojant dalyvaujamojo biudžeto iniciatyvų konkursą ir iniciatyvų įgyvendinimą </t>
  </si>
  <si>
    <t>004-01-03-02 (TP)</t>
  </si>
  <si>
    <t>IŠ VISO</t>
  </si>
  <si>
    <t>Nemokamo mokinių maitinimo kainos bendrojo ugdymo mokyklose kompensavimas</t>
  </si>
  <si>
    <t>Lygių galimybių, moterų ir vyrų lygybės politikos įgyvendinimas bei asmens duomenų apsaugos užtikrinimas</t>
  </si>
  <si>
    <t>Savivaldybės korupcijos prevencijos veiksmų plano įgyvendinimas</t>
  </si>
  <si>
    <t>Asignavimų ir kitų lėšų pokytis, palyginti su ankstesnių metų patvirtintų asignavimų ir kitų lėšų planu</t>
  </si>
  <si>
    <t>Strateginio plėtros plano priemonės kodas</t>
  </si>
  <si>
    <t>2.1.2.7.</t>
  </si>
  <si>
    <t>2.1.3.3.</t>
  </si>
  <si>
    <t xml:space="preserve">2.1.2.1. </t>
  </si>
  <si>
    <t>2.1.2.2</t>
  </si>
  <si>
    <t>2.1.2.3</t>
  </si>
  <si>
    <t>2.1.2.4.</t>
  </si>
  <si>
    <t xml:space="preserve">2.1.2.5. </t>
  </si>
  <si>
    <t>4.2.2.2.</t>
  </si>
  <si>
    <t>2.1.1.1.</t>
  </si>
  <si>
    <t>2.1.1.2</t>
  </si>
  <si>
    <t xml:space="preserve">2.1.1.1.        2.1.1.2. </t>
  </si>
  <si>
    <t>1.2.2.3.</t>
  </si>
  <si>
    <t xml:space="preserve">2.1.2.3 </t>
  </si>
  <si>
    <t>2.1.1.10</t>
  </si>
  <si>
    <t>2.1.</t>
  </si>
  <si>
    <t>2.3.3.3.</t>
  </si>
  <si>
    <t>2.3.1.1.</t>
  </si>
  <si>
    <t>1.1.2.1</t>
  </si>
  <si>
    <t xml:space="preserve">1.1.3.2.     </t>
  </si>
  <si>
    <t xml:space="preserve">1.1.1.2. </t>
  </si>
  <si>
    <t xml:space="preserve">1.2.1.2.  </t>
  </si>
  <si>
    <t>1.2.1.3.</t>
  </si>
  <si>
    <t>1.2.1.4.</t>
  </si>
  <si>
    <t xml:space="preserve">1.3.2.8. </t>
  </si>
  <si>
    <t>1.3.2.3.</t>
  </si>
  <si>
    <t>1.3.2.2.</t>
  </si>
  <si>
    <t>3.3.2.1.</t>
  </si>
  <si>
    <t>2.3.4.1</t>
  </si>
  <si>
    <t>2.3.4.3</t>
  </si>
  <si>
    <t>2.3.4.3.</t>
  </si>
  <si>
    <t>2.3.4.5.</t>
  </si>
  <si>
    <t>2.3.4.8.</t>
  </si>
  <si>
    <t>2.3.4.7.</t>
  </si>
  <si>
    <t xml:space="preserve">2.3.4.6.  2.3.4.10.          </t>
  </si>
  <si>
    <t>1.3.2.3.  1.3.2.5.</t>
  </si>
  <si>
    <t>1.1.2.4.    1.3.2.6.</t>
  </si>
  <si>
    <t>2.3.3.4.  2.3.3.5.   2.3.2.7.  2.3.1.5.</t>
  </si>
  <si>
    <t>2.3.3.4.  2.3.3.7.</t>
  </si>
  <si>
    <t>2.2.1.1.</t>
  </si>
  <si>
    <t>2.2.1.4.</t>
  </si>
  <si>
    <t>2.2.2.2</t>
  </si>
  <si>
    <t xml:space="preserve">2.2.2.2.  2.2.2.5.    </t>
  </si>
  <si>
    <t>4.3.1.2.</t>
  </si>
  <si>
    <t>2.4.3.6.</t>
  </si>
  <si>
    <t>4.3.2.2.</t>
  </si>
  <si>
    <t>4.3.2.4.</t>
  </si>
  <si>
    <t>2.4.3.1.</t>
  </si>
  <si>
    <t>2.4.3.1</t>
  </si>
  <si>
    <t>2.4.3.2.</t>
  </si>
  <si>
    <t>2.4.3.3.</t>
  </si>
  <si>
    <t>2.4.4.2.</t>
  </si>
  <si>
    <t>2.4.4.1.</t>
  </si>
  <si>
    <t>2.4.1.1.   2.4.1.2.</t>
  </si>
  <si>
    <t>2.4.2.7.</t>
  </si>
  <si>
    <t>2.4.2.</t>
  </si>
  <si>
    <t>2.4.2</t>
  </si>
  <si>
    <t>2.4.3.</t>
  </si>
  <si>
    <t>2.4.2.; 2.4.3.</t>
  </si>
  <si>
    <t>Užtikrinti ir gerinti stacionarias ir nestacionarias socialines paslaugas socialinę riziką patiriančioms šeimoms, asmenims ir vaikams</t>
  </si>
  <si>
    <t>4.1.1.1.</t>
  </si>
  <si>
    <t>4.1.1.16.</t>
  </si>
  <si>
    <t>4.1.1.15.   4.1.1.16.</t>
  </si>
  <si>
    <t>4.1.1.7</t>
  </si>
  <si>
    <t>4.1.1.10.</t>
  </si>
  <si>
    <t>4.1.1.9.</t>
  </si>
  <si>
    <t>4.1.1.4    4.1.1.15.</t>
  </si>
  <si>
    <t>4.1.1.17</t>
  </si>
  <si>
    <t xml:space="preserve">4.1.1.4            4.1.1.5.   </t>
  </si>
  <si>
    <t>4.1.1.3.</t>
  </si>
  <si>
    <t>4.2.2.3.       4.2.2.7.</t>
  </si>
  <si>
    <t xml:space="preserve">4.2.1.4.    4.2.1.5.    4.2.1.6.    4.2.1.7.   </t>
  </si>
  <si>
    <t>4.2.1.2.</t>
  </si>
  <si>
    <t>4.2.2.5.</t>
  </si>
  <si>
    <t>4.2.2.7.</t>
  </si>
  <si>
    <t>3.3.1.2.</t>
  </si>
  <si>
    <t>3.3.1.4.</t>
  </si>
  <si>
    <t>1.1.1.4.</t>
  </si>
  <si>
    <t>3.2.1.1.</t>
  </si>
  <si>
    <t>3.3.1</t>
  </si>
  <si>
    <t>3.4.2.3.</t>
  </si>
  <si>
    <t>3.4.2.4.</t>
  </si>
  <si>
    <t>3.3.2.7.</t>
  </si>
  <si>
    <t>3.3.2.7</t>
  </si>
  <si>
    <t>4.1.1.18</t>
  </si>
  <si>
    <t>3.1.1.1.</t>
  </si>
  <si>
    <t xml:space="preserve">3.1.1.2.   3.1.1.3.  </t>
  </si>
  <si>
    <t>3.1.1.2</t>
  </si>
  <si>
    <t>3.1.1.6.</t>
  </si>
  <si>
    <t>3.2.2.3</t>
  </si>
  <si>
    <t>3.2.1.2</t>
  </si>
  <si>
    <t>Asmenų su negalia reikalų koordinavimas</t>
  </si>
  <si>
    <t xml:space="preserve"> 2027 m. asignavimai ir kitos lėšos</t>
  </si>
  <si>
    <t xml:space="preserve">SB </t>
  </si>
  <si>
    <t>KT (ES)</t>
  </si>
  <si>
    <t>KT (PR)</t>
  </si>
  <si>
    <t>004-01-04-03 (TP)</t>
  </si>
  <si>
    <t>2.2.2.2.           2.2.2.3. 2.2.2.5.                  2.2.2.4.</t>
  </si>
  <si>
    <t>Kultūros centrų ir jų skyrių, bibliotekos ir jos filialų materialinės, infrastruktūrinės aplinkos atnaujinimas</t>
  </si>
  <si>
    <t>005-01-02-01 (TP)</t>
  </si>
  <si>
    <t xml:space="preserve">Nevyriausybinių organizacijų institucinis stiprinimas bei veiklos plėtojimo projektų finansavimas </t>
  </si>
  <si>
    <t>Rajono savivaldybės renginių, kultūrinių iniciatyvų finansavimas, etninės kultūros puoselėjimas, mėgėjų meno kolektyvų veiklos stiprinimas</t>
  </si>
  <si>
    <t>Bakainių piliakalnio ir jo prieigų tvarkyba</t>
  </si>
  <si>
    <t>Bešeimininkių ir bepriežiūrių gyvūnų surinkimas, karantinavimas, priežiūra</t>
  </si>
  <si>
    <t>Tobulinti atliekų tvarkymo bei aplinkos išsaugojimo sistemą, užtikrinti estetišką aplinką</t>
  </si>
  <si>
    <t>Prižiūrėti, tvarkyti savivaldybės viešąsias teritorijas, gerinti kraštovaizdžio apsaugą, didinti jo patrauklumą</t>
  </si>
  <si>
    <t>Gyvenviečių lietaus nuotekų-drenažų sistemų remontas</t>
  </si>
  <si>
    <t xml:space="preserve">Melioracijos inžinerinių statinių rekonstravimas Nevėžio pabaseinyje - Nevėžio  ir Šušvės upių žiotyse </t>
  </si>
  <si>
    <t>Individualios pagalbos teikimo išlaidų kompensacijų teikimas ir administravimas</t>
  </si>
  <si>
    <t>Išmokų vaikams teikimas ir administravimas</t>
  </si>
  <si>
    <t>Lietuvos Respublikos teisės aktuose numatytos paramos teikimas užsieniečiams, pasitraukusiems iš Ukrainos dėl Rusijos Federacijos karinių veiksmų Ukrainoje</t>
  </si>
  <si>
    <t>Užtikrinti ir gerinti socialines paslaugas, teikiamas institucijose, namuose ir bendruomenėje asmenims su negalia bei senyvo amžiaus asmenims</t>
  </si>
  <si>
    <t>Intelekto ir (ar) psichikos negalią turinčių asmenų atvejo vadybos paslaugų teikimas</t>
  </si>
  <si>
    <t xml:space="preserve">Materialinio nepritekliaus mažinimo programos Lietuvoje įgyvendinimas </t>
  </si>
  <si>
    <t xml:space="preserve">Sudaryti prielaidas ugdymo kokybei gerinti, mažinti ugdymo kokybės skirtumus tarp mokyklų, užtikrinti STEAM dalykų programų įgyvendinimą bei skaitmeninio ugdymo turinio plėtrą </t>
  </si>
  <si>
    <t>002-01-04-06 (TP)</t>
  </si>
  <si>
    <t>Socialines paslaugas teikiančių įstaigų ir organizacijų veiklos bei teikiamų socialinių paslaugų teikimo užtikrinimas</t>
  </si>
  <si>
    <t>1.3.2.3</t>
  </si>
  <si>
    <t>Nutolusios saulės elektrinės įsigijimas</t>
  </si>
  <si>
    <t>Stiprinti savivaldybės institucijų ir verslo įmonių bendradarbiavimą, sudaryti palankias sąlygas sumanios pramonės ir logistikos srities verslų atsiradimui, plėtrai bei investicijų pritraukimui</t>
  </si>
  <si>
    <t>Kėdainių miesto hidrotechnikos statinio ant Dotnuvėlės upės remonto techninės dokumentacijos rengimas ir remonto darbai</t>
  </si>
  <si>
    <t>VšĮ Kėdainių turizmo ir verslo informacijos centro efektyvios veiklos užtikrinimas turizmo srityje</t>
  </si>
  <si>
    <t>VšĮ Kėdainių turizmo ir verslo informacijos centro efektyvios veiklos užtikrinimas verslo srityje</t>
  </si>
  <si>
    <t>SB (AA)</t>
  </si>
  <si>
    <t>Remti ir vykdyti aplinkos kokybės gerinimo, aplinkos monitoringo ir kitas aplinkos apsaugos iniciatyvas</t>
  </si>
  <si>
    <t>Rengti, atnaujinti  teritorijų planavimo ir kitus dokumentus, sudarant sąlygas darniai infrastruktūros plėtrai</t>
  </si>
  <si>
    <t xml:space="preserve">Prevencinių priemonių, kuriomis siekiama išvengti medžiojamųjų gyvūnų daromos žalos miškui, įgyvendinimas </t>
  </si>
  <si>
    <t xml:space="preserve">Individualių nuotekų valymo įrenginių kompensavimas gyventojams </t>
  </si>
  <si>
    <t>SBVB (KPP)</t>
  </si>
  <si>
    <t>Plėtoti tvarų ir efektyvų žemės ūkį</t>
  </si>
  <si>
    <t xml:space="preserve">Vietinės reikšmės kelių ir gatvių remontas, priežiūra ir palaikymas,  saugaus eismo ir darnaus judumo priemonių diegimas (KPP) </t>
  </si>
  <si>
    <t xml:space="preserve">Išlaidų už įsigytus produktus, mokinio reikmenis finansavimas, socialinės paramos mokiniams administravimas </t>
  </si>
  <si>
    <t xml:space="preserve">Prižiūrėti ir plėtoti energetinę infrastruktūrą, diegti energiją taupančias priemones </t>
  </si>
  <si>
    <t xml:space="preserve">Užsienio kilmės Lietuvos gyventojų integracijos koordinavimas </t>
  </si>
  <si>
    <t>Gerinti švietimo pagalbos teikimą, įgyvendinti kokybišką įvairių ugdymosi poreikių turinčių mokinių ugdymą, taikant inovatyvius ugdymo(si) metodus ir būdus</t>
  </si>
  <si>
    <t>Neformaliojo vaikų švietimo, socializacijos, prevencijos veiklų programų plėtojimas, vaikų vasaros stovyklų finansavimas</t>
  </si>
  <si>
    <t>Didinti pedagogų ir mokinių motyvaciją, užtikrinti sveiką, saugią emocinę ir fizinę aplinką ugdymo įstaigose</t>
  </si>
  <si>
    <t>Jaunimo veiklos projektų, programų  finansavimas</t>
  </si>
  <si>
    <t>Skatinti gyventojų fizinį aktyvumą, vystyti įvairias gyventojų poreikius atitinkančias sporto šakas, didinti sportinės veiklos žinomumą</t>
  </si>
  <si>
    <t>Gerinti ugdymo, kultūros, sporto paskirties viešąją infrastruktūrą, modernizuoti materialinę ir edukacinę aplinką, vadovaujantis universalaus dizaino principais</t>
  </si>
  <si>
    <t>Kelių dangos gerinimo finansavimas seniūnijose</t>
  </si>
  <si>
    <t>Šėtos gimnazijos sporto aikštyno atnaujinimas</t>
  </si>
  <si>
    <t xml:space="preserve">Bendrojo ir ikimokyklinio ugdymo įstaigų (skyrių) pastatų modernizavimo techninės dokumentacijos rengimas bei pastatų modernizavimas </t>
  </si>
  <si>
    <t>Sporto infrastruktūrai prie ugdymo įstaigų  atnaujinti reikalingos techninės dokumentacijos rengimas ir atnaujinimo darbai</t>
  </si>
  <si>
    <t>Pagalbos pinigai globėjams, globojantiems vaikus</t>
  </si>
  <si>
    <t>2.4.4.5</t>
  </si>
  <si>
    <t>2.4.2.4.</t>
  </si>
  <si>
    <t xml:space="preserve">Smurto artimoje aplinkoje bei krizių įveikimo prevencija,  pagalba socialiai pažeidžiamiems asmenims </t>
  </si>
  <si>
    <t>Užtikrinti gyventojų socialinį bei viešąjį saugumą</t>
  </si>
  <si>
    <t>Gyventojų civilinio saugumo užtikrinimas</t>
  </si>
  <si>
    <t xml:space="preserve">4.2.2.3. </t>
  </si>
  <si>
    <t>Visuomenės sveikatos rėmimo specialiosios programos priemonių įgyvendinimas</t>
  </si>
  <si>
    <t xml:space="preserve">Valstybės perduotų savivaldybei funkcijų kokybiškas įgyvendinimas ir organizavimas </t>
  </si>
  <si>
    <t>4.1.1.15.</t>
  </si>
  <si>
    <t xml:space="preserve">Kompensacijų nepriklausomybės gynėjams mokėjimas bei išmokų ginkluoto pasipriešinimo dalyviams apmokėjimas </t>
  </si>
  <si>
    <t xml:space="preserve">Aktyvios visuomenės ugdymo programa </t>
  </si>
  <si>
    <t xml:space="preserve"> Socialinės gerovės užtikrinimo programa</t>
  </si>
  <si>
    <t xml:space="preserve"> Darnios aplinkos ir infrastruktūros plėtros programa</t>
  </si>
  <si>
    <t>Ekonominės plėtros programa</t>
  </si>
  <si>
    <t>001-01-01-02 (PP)</t>
  </si>
  <si>
    <t>001-01-01-03 (TP)</t>
  </si>
  <si>
    <t>001-01-01-04 (TP, PP)</t>
  </si>
  <si>
    <t>002-01-01-05 (TP, PP)</t>
  </si>
  <si>
    <t>001-01-02-03 (TP)</t>
  </si>
  <si>
    <t>001-01-02-04 (PP)</t>
  </si>
  <si>
    <t>001-01-04-06 (TP)</t>
  </si>
  <si>
    <t>001-01-04-07 (TP)</t>
  </si>
  <si>
    <t>001-01-04-08 (TP)</t>
  </si>
  <si>
    <t>001-01-04-09 (TP)</t>
  </si>
  <si>
    <t>001-01-05 (T)</t>
  </si>
  <si>
    <t>001-01-05-03 (TP)</t>
  </si>
  <si>
    <t>001-01-06-02 (TP)</t>
  </si>
  <si>
    <t>001-01-06-03 (TP)</t>
  </si>
  <si>
    <t>001-01-07 (T)</t>
  </si>
  <si>
    <t>001-01-07-01 (TP)</t>
  </si>
  <si>
    <t>001-01-07-02 (TP)</t>
  </si>
  <si>
    <t>001-01-07-03 (TP)</t>
  </si>
  <si>
    <t>001-01-07-04 (TP)</t>
  </si>
  <si>
    <t>001-01-07-05 (TP)</t>
  </si>
  <si>
    <t>001-01-07-06 (TP)</t>
  </si>
  <si>
    <t>001-01-08 (T)</t>
  </si>
  <si>
    <t>001-01-08-01 (TP)</t>
  </si>
  <si>
    <t>001-01-08-02 (TP)</t>
  </si>
  <si>
    <t>001-01-08-03 (TP)</t>
  </si>
  <si>
    <t>001-01-08-04 (TP)</t>
  </si>
  <si>
    <t>001-01-08-05 (TP)</t>
  </si>
  <si>
    <t>001-01-08-06 (TP)</t>
  </si>
  <si>
    <t>001-01-09 (T)</t>
  </si>
  <si>
    <t>001-01-09-01 (TP)</t>
  </si>
  <si>
    <t>001-01-09-02 (TP)</t>
  </si>
  <si>
    <t>001-01-10 (T)</t>
  </si>
  <si>
    <t>001-01-10-01 (TP)</t>
  </si>
  <si>
    <t>001-01-10-02 (TP)</t>
  </si>
  <si>
    <t>001-01-10-03 (TP)</t>
  </si>
  <si>
    <t>001-01-10-04 (TP)</t>
  </si>
  <si>
    <t>001-01-10-05 (TP)</t>
  </si>
  <si>
    <t>001-01-10-06 (TP)</t>
  </si>
  <si>
    <t>001-01-10-07 (TP)</t>
  </si>
  <si>
    <t>001-01-10-08 (TP)</t>
  </si>
  <si>
    <t>001-01-10-09 (TP)</t>
  </si>
  <si>
    <t>002-01-01-03 (PP)</t>
  </si>
  <si>
    <t>002-01-05-01 (TP)</t>
  </si>
  <si>
    <t>002-01-05-04 (TP)</t>
  </si>
  <si>
    <t>002-01-05-05 (TP)</t>
  </si>
  <si>
    <t>002-01-05-07 (TP)</t>
  </si>
  <si>
    <t>002-01-05-08 (TP)</t>
  </si>
  <si>
    <t>002-01-05-10 (TP)</t>
  </si>
  <si>
    <t>002-01-05-11 (TP)</t>
  </si>
  <si>
    <t>002-01-05-09 (TP)</t>
  </si>
  <si>
    <t>002-01-06 (T)</t>
  </si>
  <si>
    <t>002-01-08-01 (TP)</t>
  </si>
  <si>
    <t>002-01-08-03 (TP)</t>
  </si>
  <si>
    <t>002-01-08-04 (TP)</t>
  </si>
  <si>
    <t>003-01-01-02  (TP)</t>
  </si>
  <si>
    <t>003-01-02-02 (PP)</t>
  </si>
  <si>
    <t>003-01-03 (T)</t>
  </si>
  <si>
    <t>003-01-05 (T)</t>
  </si>
  <si>
    <t>003-01-05-02 (TP)</t>
  </si>
  <si>
    <t>003-01-03-06 (PP)</t>
  </si>
  <si>
    <t>003-01-05-01 (PP)</t>
  </si>
  <si>
    <t>003-01-06 (T)</t>
  </si>
  <si>
    <t>003-01-06-01 (TP)</t>
  </si>
  <si>
    <t>003-01-07 (T)</t>
  </si>
  <si>
    <t>003-01-07-01 (TP)</t>
  </si>
  <si>
    <t>003-01-07-02 (TP)</t>
  </si>
  <si>
    <t>003-01-07-04 (TP)</t>
  </si>
  <si>
    <t>004-01-01 (T, P)</t>
  </si>
  <si>
    <t>004-01-01-03 (PP)</t>
  </si>
  <si>
    <t>004-01-03-05 (TP)</t>
  </si>
  <si>
    <t>004-01-01-04 (PP)</t>
  </si>
  <si>
    <t>005-01-01-05 (TP)</t>
  </si>
  <si>
    <t>005-01-01-06 (TP)</t>
  </si>
  <si>
    <t>005-01-01-07 (TP)</t>
  </si>
  <si>
    <t>005-01-01-08 (TP)</t>
  </si>
  <si>
    <t>005-01-01-10 (TP)</t>
  </si>
  <si>
    <t>005-01-01-11 (TP)</t>
  </si>
  <si>
    <t>005-01-01-12 (TP)</t>
  </si>
  <si>
    <t>005-01-01-09 (TP)</t>
  </si>
  <si>
    <t>Neformaliojo ugdymo programų įgyvendinimo ir tinkamos ugdymo (si) aplinkos užtikrinimas  Kėdainių Dailės, Kalbų ir Muzikos mokyklose</t>
  </si>
  <si>
    <t>Maitinimo savarankiškai organizavimas mokyklose</t>
  </si>
  <si>
    <t>Saugių ugdymo sąlygų įstaigose užtikrinimas</t>
  </si>
  <si>
    <t xml:space="preserve">Vystyti jaunimui palankią aplinką, plėsti ir skatinti įvairias veiklas ir užimtumą, formuojant jaunimo politiką </t>
  </si>
  <si>
    <t xml:space="preserve">Jaunimui palankios aplinkos vystymas, skatinant įvairias veiklas,  formuojant jaunimo politiką </t>
  </si>
  <si>
    <t>Organizuoti  kultūros įstaigų veiklą,  užtikrinti kultūros paslaugų kokybę ir jų prieinamumą, finansuoti renginius bei kultūrines iniciatyvas</t>
  </si>
  <si>
    <t>Skatinti nevyriausybinių ir bendruomeninių organizacijų  plėtrą, didinti jų įtrauktį</t>
  </si>
  <si>
    <t xml:space="preserve">Bendruomeninių organizacijų veiklos projektų finansavimas, bendruomeninės veiklos stiprinimas </t>
  </si>
  <si>
    <t xml:space="preserve">Miesto bei rajono vietos veiklos grupių plėtros strategijų finansavimas </t>
  </si>
  <si>
    <t>Krašto muziejaus ir jo skyrių  veiklos užtikrinimas, kultūros paslaugų plėtra ir prieinamumo didinimas</t>
  </si>
  <si>
    <t>Sporto centro veiklos užtikrinimas, sveikatingumo bei sportinių renginių organizavimas bei vykdymas</t>
  </si>
  <si>
    <t>Finansuoti sporto veiklos programas, skatinti sporto organizacijas, sporto komandas ir sportininkus</t>
  </si>
  <si>
    <t>Baseino komplekso statybos priešprojektinių pasiūlymų / investicinio projekto parengimas</t>
  </si>
  <si>
    <t>Kėdainių kultūros centro rekonstrukcija ir  įveiklinimas</t>
  </si>
  <si>
    <t>Socialinių išmokų bei kompensacijų (būsto šildymo, šalto bei karšto vandens), paramos mirties atveju teikimas ir administravimas</t>
  </si>
  <si>
    <t>Prisidėjimas prie Savivaldybei priklausančio būsto renovacijos</t>
  </si>
  <si>
    <t xml:space="preserve">Aplinkos kokybės gerinimas ir apsauga, visuomenės aplinkosauginis švietimas </t>
  </si>
  <si>
    <t xml:space="preserve">Aplinkos monitoringas, oro, dirvožemio, požeminio ir paviršinio vandens nuotekų tyrimai </t>
  </si>
  <si>
    <t>Susidariusių atliekų surinkimas, transportavimas, tvarkymas, konteinerių, kompostavimo dėžių įsigijimas</t>
  </si>
  <si>
    <t>Želdynų ir želdinių apsauga, tvarkymas, būklės stebėsena, gėlynų kūrimas</t>
  </si>
  <si>
    <t>Dokumentų, padedančių užtikrinti darnią rajono savivaldybės teritorijų plėtrą, rengimas</t>
  </si>
  <si>
    <t xml:space="preserve">Investicinių projektų, planų, paraiškų, kitos techninės dokumentacijos rengimas  paramai gauti </t>
  </si>
  <si>
    <t>Objektų remontai pagal administracijos direktoriaus įsakymus</t>
  </si>
  <si>
    <t xml:space="preserve">Avarinių židinių likvidavimas </t>
  </si>
  <si>
    <t>Vandentiekio, nuotekų tinklų rekonstrukcija ir plėtra mieste</t>
  </si>
  <si>
    <t>Gatvių apšvietimo rekonstrukcija, įrengimas, modernizavimas</t>
  </si>
  <si>
    <t xml:space="preserve">Krakių tvenkinių hidrotechnikos statinių remontas ir techninės priežiūros vykdymas
</t>
  </si>
  <si>
    <t xml:space="preserve">Infrastruktūros miesto parke įrengimas </t>
  </si>
  <si>
    <t xml:space="preserve">Babėnų šilo miškotvarka ir pritaikymas patogiam poilsiui, laisvalaikiui </t>
  </si>
  <si>
    <t>Minareto ir jo prieigų tvarkyba</t>
  </si>
  <si>
    <t xml:space="preserve">Evangelikų ir reformatų bažnyčios infrastruktūros, jos varpinės  atnaujinimas </t>
  </si>
  <si>
    <t>Savivaldybės valdymo tobulinimo programa</t>
  </si>
  <si>
    <t>4.3.2.3.</t>
  </si>
  <si>
    <t>Jaunuolių skatinimas pasirinkti policijos pareigūno profesiją</t>
  </si>
  <si>
    <t xml:space="preserve">Dalyvavimas vaikų mokymo plaukti projekte „Mokėk plaukti ir saugiau elgtis vandenyje“ </t>
  </si>
  <si>
    <t>Kapinių teritorijų plėtra, atnaujinimas, kolumbariumų įrengimas, kapinių skaitmeninimas</t>
  </si>
  <si>
    <t xml:space="preserve">Papildomų sąlygų didelio mokymosi potencialo vaikų ugdymui sudarymas </t>
  </si>
  <si>
    <t>001-01-10-10 (TP)</t>
  </si>
  <si>
    <t xml:space="preserve">2.1. </t>
  </si>
  <si>
    <t xml:space="preserve">Dalyvaujamojo biudžeto iniciatyvų ugdymo įstaigose įgyvendinimas </t>
  </si>
  <si>
    <t>Saugios aplinkos kūrimas ir bendruomenės viešosios tvarkos užtikrinimas</t>
  </si>
  <si>
    <t>Geriamojo vandens tiekimo ir buitinių nuotekų tvarkymo infrastruktūros plėtros ir/ar rekonstrukcijos kaimiškosiose gyvenvietėse techninės dokumentacijos rengimas</t>
  </si>
  <si>
    <t>Sporto centro bazių atnaujinimas ir plėtra</t>
  </si>
  <si>
    <t>2026 m.</t>
  </si>
  <si>
    <t>2027 m.</t>
  </si>
  <si>
    <t>Finansuotų  projektų, programų skaičius</t>
  </si>
  <si>
    <t xml:space="preserve">Pagal patvirtintą aplinkos monitoringo programą per pusmetį nustatytų teršalų koncentracijų verčių viršijimų dalis nuo visų atliktų tyrimų, proc. </t>
  </si>
  <si>
    <t xml:space="preserve">Per metus registruotų gyvūnų daromos žalos incidentų skaičiaus sumažėjimas, proc. </t>
  </si>
  <si>
    <t>Per metus patenkintų prašymų dalis, proc., nuo gautų prašymų skaičiaus</t>
  </si>
  <si>
    <t>15</t>
  </si>
  <si>
    <t>ne daugiau 5</t>
  </si>
  <si>
    <t>10</t>
  </si>
  <si>
    <t>20</t>
  </si>
  <si>
    <t>25</t>
  </si>
  <si>
    <t>5</t>
  </si>
  <si>
    <t>Gautų  skundų dėl nesklandaus komunalinių atliekų tvarkymo sistemos veikimo, skaičiaus mažėjimas (kasmet), proc.</t>
  </si>
  <si>
    <t>Komunalinių atliekų tvarkymo sistemos įgyvendinimas pagal Kėdainių r. sav. atliekų prevencijos ir tvarkymo 2021-2027 m. planą, proc.</t>
  </si>
  <si>
    <t>95</t>
  </si>
  <si>
    <t>100</t>
  </si>
  <si>
    <t>Suteikta laikina globa bešeimininkiams gyvūnams, proc.</t>
  </si>
  <si>
    <t>Seniūnijų skaičius, kuriose įgyvendinamos želdynų ir želdinių apsaugos, tvarkymo, būklės stebėsenos, želdynų kūrimo, želdinių veisimo ir inventorizavimo priemonės</t>
  </si>
  <si>
    <t>Likviduotų objektų skaičius</t>
  </si>
  <si>
    <t xml:space="preserve">Žalioji infrastruktūra, kuriai suteikta parama kitais nei prisitaikymo prie klimato kaitos tikslais (ha) </t>
  </si>
  <si>
    <t xml:space="preserve">Vertinama įgyvendinus projektą 2029 m.  </t>
  </si>
  <si>
    <t>11</t>
  </si>
  <si>
    <t>Parengtų teritorijų planavimo dokumentų (specialiųjų, detaliųjų, bendrųjų, geodezinių, žemės sklypų formavimo ir pertvarkymo, kadastrinių matavimų  ir kt.) skaičius</t>
  </si>
  <si>
    <t>~40</t>
  </si>
  <si>
    <t xml:space="preserve">Parengtos dokumentacijos skaičius </t>
  </si>
  <si>
    <t>pagal poreikį</t>
  </si>
  <si>
    <t>Paklota vandentiekio ir nuotekų tinklų, m</t>
  </si>
  <si>
    <t>~300</t>
  </si>
  <si>
    <t>Remontuotų objektų skaičius</t>
  </si>
  <si>
    <t>Objektų skaičius, kuriuose likviduoti avariniai židiniai</t>
  </si>
  <si>
    <t>Parengtos techninės dokumentacijos skaičius</t>
  </si>
  <si>
    <t>1 Mw</t>
  </si>
  <si>
    <t>Remontuotų biudžetinių įstaigų kiemų skaičius</t>
  </si>
  <si>
    <t>Pagerinta dviračiams skirta infrastruktūra,  km / Įgyvendintos darnaus judumo priemonės</t>
  </si>
  <si>
    <t>Įsigytos galios nutolusi saulės elektrinė</t>
  </si>
  <si>
    <t>Įgyvendinta projekto veiklų, proc. (iš viso)</t>
  </si>
  <si>
    <t>augantis</t>
  </si>
  <si>
    <t>Prie  centralizuotų tinklų prisijungusių vartotojų skaičius</t>
  </si>
  <si>
    <t>KPP lėšomis suremontuotų, rekonstruotų, naujai nutiestų kelių ir pėsčiųjų bei dviračių takų ilgis, km</t>
  </si>
  <si>
    <t>~10</t>
  </si>
  <si>
    <t>2</t>
  </si>
  <si>
    <t>12</t>
  </si>
  <si>
    <t xml:space="preserve">Naujų kolumbariumų skaičius / suskaitmenintų kapinių skaičius </t>
  </si>
  <si>
    <t>Subjektų, kuriems suteikta finansinė parama, skaičius</t>
  </si>
  <si>
    <t>Finansuotų projektų / paskatintų iniciatyvų bei suorganizuotų veiklų skaičius</t>
  </si>
  <si>
    <t>10/3</t>
  </si>
  <si>
    <t>13</t>
  </si>
  <si>
    <t>Išmokytų 1-4 klasių mokinių plaukti skaičius nuo dalyvavusių programoje vaikų skaičiaus, proc.</t>
  </si>
  <si>
    <t>Atnaujintų/įrengtų vaikų sporto ir žaidimų aikštelių skaičius</t>
  </si>
  <si>
    <t xml:space="preserve">&gt;5,9  </t>
  </si>
  <si>
    <t>Organizuotai sportuojančių proc. nuo gyventojų skaičiaus savivaldybės teritorijoje, proc.</t>
  </si>
  <si>
    <t xml:space="preserve">Sporto projektuose vykdytų veiklų ir unikalių dalyvių skaičiaus didėjimas, proc. </t>
  </si>
  <si>
    <t>0,7</t>
  </si>
  <si>
    <t xml:space="preserve">Mokinių, dalyvaujančių FŠPU ir NVŠ sportinio ugdymo programose, dalis nuo bendro rajono mokinių, dalyvaujančių neformaliojo vaikų švietimo programose, skaičiaus/ proc. </t>
  </si>
  <si>
    <t>+10</t>
  </si>
  <si>
    <t xml:space="preserve">Organizuojamuose centro sveikatingumo ir sporto renginiuose dalyvaujančiųjų skaičiaus augimas, proc.  </t>
  </si>
  <si>
    <t>1</t>
  </si>
  <si>
    <t>Per metus atnaujintų arba naujai įrengtų   infrastruktūros objektų skaičius (valdomų sporto centro bazių)</t>
  </si>
  <si>
    <t xml:space="preserve">Iškovotų medalių šalies ir tarptautinėse aukšto meistriškumo varžybose skaičius </t>
  </si>
  <si>
    <t>&gt; 70</t>
  </si>
  <si>
    <t>Parengtų olimpinės bei nacionalinių rinktinių narių/ kandidatų skaičius</t>
  </si>
  <si>
    <t>Pagrindinio ugdymo pasiekimų patikrinimo (PUPP) metu bent pagrindinį lietuvių kalbos mokymosi pasiekimų lygį pasiekusių mokinių dalis, (proc.) / PUPP metu bent pagrindinį matematikos mokymosi pasiekimų lygį pasiekusių mokinių dalis, (proc.)</t>
  </si>
  <si>
    <t xml:space="preserve"> Ikimokykliniame ir priešmokykliniame ugdyme dalyvaujančių 3–5 metų vaikų dalis (proc.)</t>
  </si>
  <si>
    <t>Bendrojo ugdymo mokyklų 1–8 klasių komplektų, kurie yra jungtiniai, dalis, (proc.)</t>
  </si>
  <si>
    <t>Bendrojo ugdymo mokyklų klasių komplektų, kuriuose yra mažiau kaip 8 mokiniai, dalis (proc.)</t>
  </si>
  <si>
    <t>Pirmoko krepšelį gaunančiųjų skaičius</t>
  </si>
  <si>
    <t>~400</t>
  </si>
  <si>
    <t>Neformaliojo švietimo veikloje dalyvaujančių mokinių dalis (proc.)</t>
  </si>
  <si>
    <t>Mokinių, dalyvavusių vasaros stovyklose, dalis (proc.)</t>
  </si>
  <si>
    <t>NVŠ krepšeliu pasinaudojusių mokinių dalis (proc.)</t>
  </si>
  <si>
    <t>Suformuotų klasių skaičius (bendras)</t>
  </si>
  <si>
    <t xml:space="preserve">Neformaliojo vaikų švietimo galimybėmis pasinaudojusių mokinių skaičius (per dieną) </t>
  </si>
  <si>
    <t>14,6</t>
  </si>
  <si>
    <t>39</t>
  </si>
  <si>
    <t>Vertinama įgyvendinus projektą 2029 m.</t>
  </si>
  <si>
    <t>Švietimo pagalbą gaunančių mokinių dalis (proc.)</t>
  </si>
  <si>
    <t xml:space="preserve">Organizuotų kvalifikacijos tobulinimo renginių skaičius / kvalifikaciją ir kompetenciją tobulinusių  pedagogų, pagalbos mokinių specialistų, vadovų skaičius </t>
  </si>
  <si>
    <t>Mokyklų, kuriose įdiegtos universalaus dizaino ir kitos inžinerinės priemonės aplinką pritaikant asmenims, turintiems negalią, skaičius</t>
  </si>
  <si>
    <t>Mokinių, kurie naudojasi sukurta visos dienos mokyklos infrastruktūra, skaičius</t>
  </si>
  <si>
    <t>Į ikimokyklinį ir priešmokyklinį ugdymą įtrauktų vaikų iš socialinę riziką patiriančių šeimų teikiant jiems pagalbą ugdymo procese dalis (skaičiuojama įgyvendinus projektą -2027 m.)</t>
  </si>
  <si>
    <t>295 / 5390</t>
  </si>
  <si>
    <t>Abiturientų, laikiusių valstybinius brandos egzaminus (VBE), rezultatų įvertinimas pagal pagrindinį ir aukštesnįjį lygius</t>
  </si>
  <si>
    <t>Dalykinių olimpiadų ir konkursų prizininkų skaičius, tenkantis 10 tūkst. mokinių</t>
  </si>
  <si>
    <t>Mokinių, kuriems skirti piniginiai prizai, skaičius</t>
  </si>
  <si>
    <t>Įstaigų, kuriose vykdomos socialinio - emocinio ugdymo programos, dalis, (proc.)</t>
  </si>
  <si>
    <t>Ekologiškai besimaitinančių vaikų skaičius</t>
  </si>
  <si>
    <t>Projekto „Ankstyvojo ugdymo užtikrinimas vaikams iš socialinę riziką patiriančių šeimų“ įgyvendinimas</t>
  </si>
  <si>
    <t xml:space="preserve">Įgyvendinamų prevencinių priemonių skaičius </t>
  </si>
  <si>
    <t>Išduotų leidinių skaičius (tūkst.)</t>
  </si>
  <si>
    <t>Bibliotekos lankytojų skaičius (tūkst.)</t>
  </si>
  <si>
    <t>Muziejaus lankytojų skaičius (tūkst.)</t>
  </si>
  <si>
    <t>Suorganizuotų  renginių, edukacinių užsiėmimų skaičius</t>
  </si>
  <si>
    <t>Finansuotų  projektų skaičius / projektų dalyvių ir lankytojų skaičius</t>
  </si>
  <si>
    <t>&gt;45</t>
  </si>
  <si>
    <t>&gt;1650</t>
  </si>
  <si>
    <t>Kultūros centrų  renginių lankytojų skaičius (tūkst.) /organizuojamų renginių skaičius</t>
  </si>
  <si>
    <t>&gt;40 /                   8</t>
  </si>
  <si>
    <t xml:space="preserve">Atlikta numatytų atnaujinimo ir pritaikymo darbų, proc.   / pritaikytomis patalpomis  besinaudojančių asmenų skaičiaus </t>
  </si>
  <si>
    <t>100/   &gt;290</t>
  </si>
  <si>
    <t xml:space="preserve">Atlikta numatytų atnaujinimo darbų, proc. / atnaujinta sporto infrastruktūra besinaudojančių asmenų skaičiaus </t>
  </si>
  <si>
    <t>2/1</t>
  </si>
  <si>
    <t xml:space="preserve">Parengtų įstaigų pastatų modernizavimo techninės dokumentacijos / atnaujinamų įstaigų skaičius </t>
  </si>
  <si>
    <t>30</t>
  </si>
  <si>
    <t>Įstaigų, kurioms gerinama materialinė, infrastruktūrinė aplinka, skaičius</t>
  </si>
  <si>
    <t>4</t>
  </si>
  <si>
    <t>Projekto veiklų įgyvendinimo proc., (bendras)</t>
  </si>
  <si>
    <t>Švietimo įstaigų darbuotojų važiavimo iš / į darbo išlaidų kompensavimas</t>
  </si>
  <si>
    <t>Asmenų, gaunančių socialinę pašalpą ir kompensacijas, skaičius</t>
  </si>
  <si>
    <t>Mokinių, gaunančių nemokamą maitinimą, skaičius</t>
  </si>
  <si>
    <t>Mokinių, gaunančių būtiniausius mokinio reikmenis, skaičius</t>
  </si>
  <si>
    <t>Vaikų, gaunančių nemokamą maitinimą, skaičius</t>
  </si>
  <si>
    <t>Parduotų su nuolaida bilietų skaičius (tūkst.)</t>
  </si>
  <si>
    <t>Asmenų, gavusių kompensacijas, skaičius</t>
  </si>
  <si>
    <t>Asmenų, gaunančių išmokas vaikams, skaičius</t>
  </si>
  <si>
    <t>Asmenų, kurių neveiksnumas peržiūrėtas, skaičius</t>
  </si>
  <si>
    <t>Pasibaigus užimtumo didinimo programoms po 6 mėnesių dirbs arba vykdys savarankišką veiklą asmenų dalis iš užimtumo didinimo programų dalyvių skaičiaus (procentai)</t>
  </si>
  <si>
    <t>Asmenų, gaunančių kompensaciją, skaičius</t>
  </si>
  <si>
    <t xml:space="preserve">Kultūros įstaigų  darbuotojų, gyvenančių 10 ir daugiau kilometrų nuo darbo vietos, kuriems kompensuojamos kelionės išlaidos, dalis (proc.) </t>
  </si>
  <si>
    <t xml:space="preserve">Socialinių įstaigų  darbuotojų, gyvenančių 10 ir daugiau kilometrų nuo darbo vietos, kuriems kompensuojamos kelionės išlaidos, dalis (proc.) </t>
  </si>
  <si>
    <t>Paramos gavėjų skaičius</t>
  </si>
  <si>
    <t>Paslaugas gavusių asmenų skaičius</t>
  </si>
  <si>
    <t>Paslaugų gavėjų skaičius</t>
  </si>
  <si>
    <t>Globojamų asmenų skaičius/globojamų asmenų, kuriems teikiamos paslaugos, procentas, palyginus su visais asmenimis, kuriems nustatytas paslaugos poreikis</t>
  </si>
  <si>
    <t>Asmenų su negalia klausimų koordinavimo funkcijos vykdymas, proc.</t>
  </si>
  <si>
    <t>Asmenų, kuriems vienu metu teikiamos atvejo vadybos paslaugos, skaičius</t>
  </si>
  <si>
    <t>Bendruomeninių šeimos namų darbuotojų pareigybių skaičius</t>
  </si>
  <si>
    <t>Asmenų, kuriems suteiktos paslaugos, skaičius</t>
  </si>
  <si>
    <t>Finansuotų vaikų dienos centrų  skaičius/veiklose dalyvavusių vaikų, jaunuolių  skaičius</t>
  </si>
  <si>
    <t>Socialinių darbuotojų ir atvejo vadybininkų darbui su šeimomis, patiriančiomis socialinę riziką, skaičius/šeimų, kurioms teikiamos paslaugos,  procentas, palyginus su visomis šeimomis, kurioms nustatytas paslaugos poreikis</t>
  </si>
  <si>
    <t>Įgyvendintų prevencinių priemonių skaičius</t>
  </si>
  <si>
    <t>Savanorių ugniagesių veikloje dalyvaujančių gyventojų skaičius</t>
  </si>
  <si>
    <t>Įgyvendintų ekstremaliųjų situacijų prevencijos priemonių plano vykdymo procentas</t>
  </si>
  <si>
    <t>3</t>
  </si>
  <si>
    <t>1208</t>
  </si>
  <si>
    <t>~900</t>
  </si>
  <si>
    <t xml:space="preserve">Paramos teikimo nepasiturintiems asmenims užtikrinimas, proc. </t>
  </si>
  <si>
    <t>Asmenų, gaunančių individualios pagalbos teikimo išlaidų kompensacijas, skaičius</t>
  </si>
  <si>
    <t xml:space="preserve">Koordinatoriaus funkcijų vykdymas, proc. </t>
  </si>
  <si>
    <t>14</t>
  </si>
  <si>
    <t>~200</t>
  </si>
  <si>
    <t>Globojamų vaikų skaičius</t>
  </si>
  <si>
    <t>139</t>
  </si>
  <si>
    <t>Socialinių paslaugų išsivystymo normatyvų užtikrinimas, proc.</t>
  </si>
  <si>
    <t>Asmenų, kuriems finansuotos socialinės paslaugos, skaičius</t>
  </si>
  <si>
    <t>44</t>
  </si>
  <si>
    <t>Asmenų, gaunančių išmokas, skaičius</t>
  </si>
  <si>
    <t>Laikino atokvėpio paslaugos teikimas ir administravimas</t>
  </si>
  <si>
    <t xml:space="preserve">Paslaugos teikimo užtikrinimas, asmenims, kuriems nustatytas poreikis, proc. </t>
  </si>
  <si>
    <t>10/195</t>
  </si>
  <si>
    <t>Asmenų, kuriems suteikta krizių įveikimo, konsultacinė pagalba</t>
  </si>
  <si>
    <t>~120</t>
  </si>
  <si>
    <t>Paskatintų jaunuolių skaičius</t>
  </si>
  <si>
    <t>Įsigytų socialinės paskirties butų skaičius</t>
  </si>
  <si>
    <t>Įsigytas ir pritaikytas būstas</t>
  </si>
  <si>
    <t>Einamaisiais metais pagal poreikį atliktų  remontų socialiniuose būstuose skaičius, proc.</t>
  </si>
  <si>
    <t xml:space="preserve">Finansavimas pagal teikiamą poreikį </t>
  </si>
  <si>
    <t>Pritaikytų būstų neįgaliesiems skaičius</t>
  </si>
  <si>
    <t>Socialiai pažeidžiamų, socialinę riziką (atskirtį) patiriančių asmenų, gavusių paslaugas naujoje ar modernizuotoje infrastruktūroje skaičius per metus</t>
  </si>
  <si>
    <t>Atnaujintų/sukurtų nakvynės namų vietų</t>
  </si>
  <si>
    <t>33,4</t>
  </si>
  <si>
    <t>33,9</t>
  </si>
  <si>
    <t>Savivaldybės biudžeto dalis, skirta socialinėms paslaugoms ir išmokoms, kaip procentinė dalis nuo bendros sumos, skiriamos socialinėms paslaugoms ir išmokoms, proc.</t>
  </si>
  <si>
    <t>≤ 6 mėn.</t>
  </si>
  <si>
    <t xml:space="preserve">Socialinių paslaugų teikimo pradžios terminas ne ilgesnis nei nurodytas  teisės aktuose </t>
  </si>
  <si>
    <t>Rodiklis bus pasiektas 2029 m.</t>
  </si>
  <si>
    <t>Naujos arba modernizuotos socialinės rūpybos infrastruktūros (ne būsto) talpumas</t>
  </si>
  <si>
    <t xml:space="preserve">Įvykdytų savivaldybės mobilizacijos plano priemonių dalis, proc. </t>
  </si>
  <si>
    <t>27</t>
  </si>
  <si>
    <t>100/  &gt;370</t>
  </si>
  <si>
    <t>130,5</t>
  </si>
  <si>
    <t>Projekte dalyvaujančių verslo subjektų skaičius</t>
  </si>
  <si>
    <t xml:space="preserve">Suteiktų  informacinių, konsultacinių paslaugų ūkio subjektams ir asmenims pagal paklausimus skaičius, val. </t>
  </si>
  <si>
    <t>~520</t>
  </si>
  <si>
    <t>1/0</t>
  </si>
  <si>
    <t>1/100</t>
  </si>
  <si>
    <t>Sukurtos arba atkurtos atviros erdvės (arai)</t>
  </si>
  <si>
    <t>Įrengiamų/atnaujinamų/pritaikomų  parko elementų (erdvių)</t>
  </si>
  <si>
    <t>004-01-03-03 (TP)</t>
  </si>
  <si>
    <t>004-01-03-06 (TP)</t>
  </si>
  <si>
    <t>Turizmo ir verslo informacinio centro lankytojų skaičiaus didėjimas, proc., lyginant su praėjusiais metais</t>
  </si>
  <si>
    <t>Kulto pastatų, kuriems skirtas finansavimas tvarkybos darbams atlikti, skaičius</t>
  </si>
  <si>
    <t xml:space="preserve">Einamaisiais metais numatytų darbų, proc. </t>
  </si>
  <si>
    <t>Turistams pritaikytų ir patogiai pasiekiamų turizmo objektų skaičius</t>
  </si>
  <si>
    <t>Tvarkomų kultūros paveldo objektų ar kultūros paveldo statinių skaičius</t>
  </si>
  <si>
    <t>Tvarkomų objektų skaičius</t>
  </si>
  <si>
    <t>43</t>
  </si>
  <si>
    <t>Atnaujinamų,  tvarkomų, pritaikomų lankymui teritorijų, gamtos paveldo objektų (vnt.)</t>
  </si>
  <si>
    <t>Remontuojamų, prižiūrimų melioracijos griovių ilgis, km</t>
  </si>
  <si>
    <t>Gyvenviečių, kuriose atlikti drenažo remonto darbai, skaičius</t>
  </si>
  <si>
    <t>Parengtų projektų skaičius</t>
  </si>
  <si>
    <t>Suremontuotų hidrotechninių įrenginių skaičius</t>
  </si>
  <si>
    <t>8</t>
  </si>
  <si>
    <t>Rekonstruotų hidrotechninių įrenginių skaičius</t>
  </si>
  <si>
    <t>Rekonstruojamų melioracijos griovių ilgis, km</t>
  </si>
  <si>
    <t>~16500</t>
  </si>
  <si>
    <t>Tikslingai panaudoto rezervo
dalis, proc.</t>
  </si>
  <si>
    <t>Tikslingai panaudoto fondo
dalis, proc.</t>
  </si>
  <si>
    <t>Finansinių įsipareigojimų vykdymo savalaikiškumas, proc.</t>
  </si>
  <si>
    <t>Įgyvendinamų gyventojų iniciatyvų skaičius</t>
  </si>
  <si>
    <t>70</t>
  </si>
  <si>
    <t>Atliktų  kontrolės ir audito tarnybos auditų skaičius pagal patvirtintą metų planą (proc.)</t>
  </si>
  <si>
    <t xml:space="preserve">ne mažiau 90 proc. </t>
  </si>
  <si>
    <t>Korupcijos prevencijos veiksmų plano metinis įvykdymas, proc.</t>
  </si>
  <si>
    <t xml:space="preserve">Administracinės naštos mažinimo plano metinis įvykdymo proc. </t>
  </si>
  <si>
    <t>Savivaldybės administracijos darbuotojų, per metus tobulinusių kvalifikaciją, dalis, proc.</t>
  </si>
  <si>
    <t>Kokybės vadybos sistemos administracinių paslaugų rodiklių pasiekimas</t>
  </si>
  <si>
    <t>Diasporos atstovų, prisidedančių prie Kėdainių vardo garsinimo ir ryšių su užsienio lietuviais stiprinimo, skaičius</t>
  </si>
  <si>
    <t>Savivaldybėje esančių seniūnijų skaičius</t>
  </si>
  <si>
    <t xml:space="preserve">Tarybos narių dalyvavimas rajono tarybos posėdžiuose, komitetuose, kolegijoje, komisijų veiklose </t>
  </si>
  <si>
    <t>Nenumatytų išlaidų padengimo bei savalaikis finansinių įsipareigojimų vykdymo, proc.</t>
  </si>
  <si>
    <t>2/3</t>
  </si>
  <si>
    <t>Modernizuotų socialinių paslaugų įstaigų senyvo amžiaus asmenimis skaičius / naudos gavėjų skaičius per metus</t>
  </si>
  <si>
    <t>Specializuotos kompleksinės pagalbos teikimas smurtą artimoje aplinkoje patyrusiems  asmenims (asm. skaičius)</t>
  </si>
  <si>
    <t>Vykdomų valstybės deleguotų funkcijų skaičius (bendras)</t>
  </si>
  <si>
    <t xml:space="preserve">Finansinės paramos teikimas per Savivaldybės smulkiojo verslo rėmimo fondą </t>
  </si>
  <si>
    <t>Administracijos pareigybių skaičius vykdantis savivaldybei priskirtas funkcijas / savivaldybės administracijos pareigybių skaičius, tenkantis 1000 rajono gyventojų</t>
  </si>
  <si>
    <t>10-tuke</t>
  </si>
  <si>
    <t>4.1.1.11.                             4.1.1.12</t>
  </si>
  <si>
    <t xml:space="preserve"> Visuomenės sveikatos rėmimo specialiosios programos įgyvendinimas, proc.</t>
  </si>
  <si>
    <t>Visuomenės sveikatos priežiūros funkcijų vykdymas, proc.</t>
  </si>
  <si>
    <t>Asmenų, dalyvavusių sveikatos raštingumo didinimo veiklose, skaičius</t>
  </si>
  <si>
    <t>Finansuotų projektų skaičius</t>
  </si>
  <si>
    <t>Naujos arba modernizuotos sveikatos priežiūros infrastruktūros naudotojų skaičius per metus</t>
  </si>
  <si>
    <t>Paramą gavusių nacionalinio, regionų ar vietos lygmens viešojo administravimo ar viešąsias paslaugas teikiančių įstaigų skaičius</t>
  </si>
  <si>
    <t>Asmenys, dalyvavę kvalifikacijos įgijimo veiklose</t>
  </si>
  <si>
    <t xml:space="preserve">Energiją taupančių šviestuvų dalis  (proc.) nuo bendro šviestuvų skaičiaus mieste ir  rajone </t>
  </si>
  <si>
    <t xml:space="preserve">Kėdainių rajono savivaldybės vieta Lietuvos savivaldybių aplinkosaugos reitinge  </t>
  </si>
  <si>
    <t xml:space="preserve">Reitingo 10-ke </t>
  </si>
  <si>
    <t xml:space="preserve">Bendras tvarkomų ir prižiūrimų savivaldybės viešųjų teritorijų plotas (ha) </t>
  </si>
  <si>
    <t>547,4</t>
  </si>
  <si>
    <t>pagal subjektų prašymus</t>
  </si>
  <si>
    <t>Prižiūrimų žvyrkelių ilgis, km / diegiamų dulkėtumo mažinimo priemonių skaičius</t>
  </si>
  <si>
    <t>~35/1</t>
  </si>
  <si>
    <t xml:space="preserve">Dviračių takų ilgis metų pabaigoje, km  /  Keleivių apyvarta kelių transportu,  keleivių sk./ km </t>
  </si>
  <si>
    <t>Naudojamų žemės ūkio naudmenų plotas, tenkantis 1000 gyventojų, Kėdainių rajono savivaldybėje, palyginti su Lietuvos vidurkiu (santykis)</t>
  </si>
  <si>
    <t>ne mažiau  2 k.</t>
  </si>
  <si>
    <t>100/100</t>
  </si>
  <si>
    <t>Procentas besikreipiančių asmenų ir šeimų, kurie atitikę paramos/paslaugų gavimo sąlygas, gavo reikiamą paramą / paslaugas pagal nustatytus teisės aktus, proc.</t>
  </si>
  <si>
    <t>Modernizuotos sveikatos priežiūros infrastruktūros naudotojų skaičius, (tūkst.)</t>
  </si>
  <si>
    <t>~360</t>
  </si>
  <si>
    <t>~380</t>
  </si>
  <si>
    <t>Infrastruktūros vienetų, pritaikytų neįgaliųjų poreikiams, skaičius</t>
  </si>
  <si>
    <t>Stebėsenos rodiklio pavadinimas (matavimo vnt.)</t>
  </si>
  <si>
    <t xml:space="preserve">Dirbančiųjų skaičiaus pokytis veikiančiose įmonėse metų pradžioje, lyginant su praeitais metais, proc. </t>
  </si>
  <si>
    <t>Laiku ir pagal teisės aktų reikalavimus parengtų teritorijų planavimo dokumentų dalis (proc.)</t>
  </si>
  <si>
    <t xml:space="preserve">KRSA valdomų ir tvarkomų informacinių sistemų skaičius / visuomenei atvertų duomenų rinkinių skaičius (kaupiamieji vienetai) </t>
  </si>
  <si>
    <t>7</t>
  </si>
  <si>
    <t xml:space="preserve">Prioritetinėms sporto šakoms skirtų savivaldybės biudžeto asignavimų nuo bendro sporto veikloms skirto finansavimo,  dalis (proc.) </t>
  </si>
  <si>
    <t>~30</t>
  </si>
  <si>
    <t xml:space="preserve">Pedagoginių darbuotojų, gyvenančių 10 ir daugiau kilometrų nuo darbo vietos, kuriems kompensuojamos kelionės išlaidos, dalis (proc.) </t>
  </si>
  <si>
    <t>Į dalyvaujamojo biudžeto iniciatyvas įsitraukusiųjų  mokyklų skaičius</t>
  </si>
  <si>
    <t>Atlikta numatytų pritaikymo darbų, proc. (bendras)</t>
  </si>
  <si>
    <t>Parengtos techninės dokumentacijos  skaičius</t>
  </si>
  <si>
    <t xml:space="preserve">Stacionarių ir nestacionarių socialinių paslaugų teikimo pradžios terminas ne ilgesnis nei nurodytas  teisės aktuose </t>
  </si>
  <si>
    <t>Parengtos techninės dokumentacijos, skaičius. / einamaisiais metais atliekamų projekte numatytų darbų proc.(bendras)</t>
  </si>
  <si>
    <t>Turistams siūlomų ekskursijų maršrutų  įvairovė, lankant miesto bei rajono istorinius, kultūros paveldo objektus, žymias vietas, skaičius</t>
  </si>
  <si>
    <t>Tarybos posėdžių, komitetų transliavimo dažnumas, viešumas ir prieinamumas visuomenei, proc.</t>
  </si>
  <si>
    <t>003-01-04 (T)</t>
  </si>
  <si>
    <t>Surinktų ir sutvarkytų mišrių komunalinių atliekų kiekio sumažėjimas, t (tonomis)/metus</t>
  </si>
  <si>
    <t>~30-40</t>
  </si>
  <si>
    <t xml:space="preserve">Kultūros veiklų dalyvių ir lankytojų (visose kultūros įstaigose) skaičius 1 tūkst. rajono gyventojų </t>
  </si>
  <si>
    <t>Mokytojų ir švietimo pagalbos specialistų pritraukimas, perkvalifikavimas ir skatinimas</t>
  </si>
  <si>
    <t>002-01-05-02 (TP)</t>
  </si>
  <si>
    <t>Daugiabučių namų patalpų pritaikymas minimaliems priedangų reikalavimams</t>
  </si>
  <si>
    <t>Pritaikytų daugiabučių namų minimaliems priedangų reikalavimams skaičius</t>
  </si>
  <si>
    <t xml:space="preserve"> 2028 m. asignavimai ir kitos lėšos</t>
  </si>
  <si>
    <t>2028 m.</t>
  </si>
  <si>
    <t>Pagal programą įdarbintų 14-21 m. jaunuolių skaičius, veiklose dalyvaujančių savanorių skaičius</t>
  </si>
  <si>
    <t xml:space="preserve">Investicijoms gerinamas viešųjų teritorijų plotas, ha (LEZ teritorijos bendras plotas) </t>
  </si>
  <si>
    <t>97.7</t>
  </si>
  <si>
    <t>74/ 55,22</t>
  </si>
  <si>
    <t>295/5390</t>
  </si>
  <si>
    <t>25/65</t>
  </si>
  <si>
    <t xml:space="preserve">Įstaigų, plečiančių skaitmeninimą, skaičius </t>
  </si>
  <si>
    <t>27/100</t>
  </si>
  <si>
    <t xml:space="preserve">&gt;80 </t>
  </si>
  <si>
    <t xml:space="preserve">Sporto projektų finansavimas </t>
  </si>
  <si>
    <t>Sportininkų ir jų trenerių paskatinimas už sporto laimėjimus</t>
  </si>
  <si>
    <t xml:space="preserve">Vaikų maitinimo ekologiškais ir pagal nacionalinę maisto kokybės sistemą pagamintais produktais organizavimas (dalyvavimas projekte) </t>
  </si>
  <si>
    <t>2.1.1.1.            2.1.1.2.</t>
  </si>
  <si>
    <t>1/2</t>
  </si>
  <si>
    <t>Fizinio aktyvumo veiklų skatinimas ir aukšto meistriškumo sporto plėtros užtikrinimas</t>
  </si>
  <si>
    <t>~220</t>
  </si>
  <si>
    <t xml:space="preserve">Į veiklas įtrauktų asmenų skaičius </t>
  </si>
  <si>
    <t>2300</t>
  </si>
  <si>
    <t>2400</t>
  </si>
  <si>
    <t>2500</t>
  </si>
  <si>
    <t>Savivaldybės finansinė parama pirmąjį būstą įsigyjančioms jaunoms šeimoms</t>
  </si>
  <si>
    <t>Socialinės reabilitacijos paslaugų asmenims su negalia bendruomenėje organizavimas</t>
  </si>
  <si>
    <t>Asmenų su negalia, gavusių paslaugas, skaičius</t>
  </si>
  <si>
    <t>Vaikų dienos socialinės priežiūros paslaugų finansavimas vaikų dienos centruose</t>
  </si>
  <si>
    <t>Bendrojo ugdymo mokyklų (vykdančių vidurinio ar pagrindinio ugdymo programas), turinčių gamtos mokslų laboratorijas/sensorinius kambarius dalis (proc.)</t>
  </si>
  <si>
    <t>90/85</t>
  </si>
  <si>
    <t>95/90</t>
  </si>
  <si>
    <t>~20</t>
  </si>
  <si>
    <t>~170</t>
  </si>
  <si>
    <t>~490</t>
  </si>
  <si>
    <t>Bendruomeninės fizinio aktyvumo infrastruktūros priežiūra, atnaujinimas ir (arba) plėtra</t>
  </si>
  <si>
    <t>~35</t>
  </si>
  <si>
    <t>45</t>
  </si>
  <si>
    <t xml:space="preserve">Vandentiekio, nuotekų tinklų rekonstrukcija ir plėtra rajone </t>
  </si>
  <si>
    <t>003-01-05-06 (TP)</t>
  </si>
  <si>
    <t>1000/30/60</t>
  </si>
  <si>
    <t>Tvarkomų ir prižiūrimų savivaldybės viešųjų teritorijų plotas (ha) mieste ir rajone / Vidutinis apšvietimo įjungimo laikas mieste /  seniūnijose , val.</t>
  </si>
  <si>
    <t xml:space="preserve">167/371/ne        trumpiau kaip 7 val. </t>
  </si>
  <si>
    <t>2047</t>
  </si>
  <si>
    <t>2014</t>
  </si>
  <si>
    <t>2006</t>
  </si>
  <si>
    <t>1320</t>
  </si>
  <si>
    <t>1203</t>
  </si>
  <si>
    <t>12250</t>
  </si>
  <si>
    <t>450</t>
  </si>
  <si>
    <t>8100</t>
  </si>
  <si>
    <t>8050</t>
  </si>
  <si>
    <t>8000</t>
  </si>
  <si>
    <t>76</t>
  </si>
  <si>
    <t>74</t>
  </si>
  <si>
    <t>140</t>
  </si>
  <si>
    <t>250</t>
  </si>
  <si>
    <t>260</t>
  </si>
  <si>
    <t>265</t>
  </si>
  <si>
    <t xml:space="preserve">SBVB </t>
  </si>
  <si>
    <t>50</t>
  </si>
  <si>
    <t>175</t>
  </si>
  <si>
    <t>~260/98,5</t>
  </si>
  <si>
    <t>~260/99</t>
  </si>
  <si>
    <t>17</t>
  </si>
  <si>
    <t>160</t>
  </si>
  <si>
    <t>26/100</t>
  </si>
  <si>
    <t>&gt;350</t>
  </si>
  <si>
    <t>&gt;8500</t>
  </si>
  <si>
    <t>&gt;8000</t>
  </si>
  <si>
    <t>&gt;200</t>
  </si>
  <si>
    <t>&gt;130 / &gt;1300</t>
  </si>
  <si>
    <t>&gt;18/ &gt;4500</t>
  </si>
  <si>
    <t>Fizinio aktyvumo veiklų dalyvių skaičiaus didėjimas (proc.) / rajone organizuojamų aukšto meistriškumo sporto renginių skaičiaus augimas</t>
  </si>
  <si>
    <t>Patrauklios viešosios erdvės kūrimas Aristavos kaime</t>
  </si>
  <si>
    <t>Patrauklios viešosios erdvės kūrimas Dotnuvos miestelyje</t>
  </si>
  <si>
    <t>daugiau nei 90</t>
  </si>
  <si>
    <t>004-01-03-01 (PP)</t>
  </si>
  <si>
    <t>004-01-03-04 (TP)</t>
  </si>
  <si>
    <t>Valstybei nuosavybės teise priklausančių melioracijos statinių ir (ar) sistemų rekonstravimo ir projektavimo darbų bei apleistų žemės plotų mažinimo priemonių įgyvendinimas</t>
  </si>
  <si>
    <t xml:space="preserve">Sukurtų erdvių skaičius </t>
  </si>
  <si>
    <t>004-01-04-02 (TP)</t>
  </si>
  <si>
    <t>004-01-04-06 (TP)</t>
  </si>
  <si>
    <t>5800</t>
  </si>
  <si>
    <t xml:space="preserve">Švietimo paslaugų kokybės gerinimas, aprūpinant efektyviai veikiančias bendrojo ugdymo mokyklas laboratorine  įranga ir priemonėmis bei sensoriniams kambariams įsirengti, priemonėms įsigyti </t>
  </si>
  <si>
    <t>002-01-02-01 (PP)</t>
  </si>
  <si>
    <t>002-01-02-02 (PP)</t>
  </si>
  <si>
    <t>002-01-02-03 (PP)</t>
  </si>
  <si>
    <t>002-01-01-04 (TP)</t>
  </si>
  <si>
    <t>002-01-01-05 (PP)</t>
  </si>
  <si>
    <t>002-01-01-06 (TP)</t>
  </si>
  <si>
    <t>002-01-03-09 (TP)</t>
  </si>
  <si>
    <t>002-01-03-08 (TP)</t>
  </si>
  <si>
    <t>002-01-03-07 (TP)</t>
  </si>
  <si>
    <t>002-01-03-06 (TP)</t>
  </si>
  <si>
    <t>002-01-03-05 (TP)</t>
  </si>
  <si>
    <t>002-01-03-04 (TP)</t>
  </si>
  <si>
    <t>002-01-03-10 (TP)</t>
  </si>
  <si>
    <t>002-01-03-11 (TP)</t>
  </si>
  <si>
    <t>002-01-03-12 (TP)</t>
  </si>
  <si>
    <t>002-01-03-13 (TP)</t>
  </si>
  <si>
    <t>002-01-03-15 (TP)</t>
  </si>
  <si>
    <t>002-01-04 (T)</t>
  </si>
  <si>
    <t>002-01-04-07 (TP)</t>
  </si>
  <si>
    <t>002-01-05 (T, P)</t>
  </si>
  <si>
    <t>Sudaryti sąlygas stiprinti gyventojų sveikatą užtikrinant prieinamų, kokybiškų ir integruotų visuomenės sveikatos bei sveikatos priežiūros paslaugų plėtrą, veiklų tęstinumą ir  įgyvendinimą</t>
  </si>
  <si>
    <t>Sveikatos priežiūros paslaugų teikimo pajėgumų stiprinimas, užtikrinant paslaugų kokybę, saugą ir prieinamumą</t>
  </si>
  <si>
    <t>Skatinti vietos bendruomenę įsitraukti į vietos valdymą</t>
  </si>
  <si>
    <t>005-01-01-13 (TP)</t>
  </si>
  <si>
    <t>~1000</t>
  </si>
  <si>
    <t>005-01-03-01 (TP)</t>
  </si>
  <si>
    <t>Seniūnijas atstovaujančių  seniūnaičių skaičius</t>
  </si>
  <si>
    <t>96</t>
  </si>
  <si>
    <t>Patenkintų prašymų gauti būsto nuomos ar išperkamosios būsto nuomos mokesčių dalies kompensaciją, skaičius iš bendro pateikusių prašymus asmenų skaičiaus (proc.)</t>
  </si>
  <si>
    <t xml:space="preserve">Patenkintų prašymų, gauti finansinę paramą pirmajam būstui įsigyti, proc. </t>
  </si>
  <si>
    <t xml:space="preserve">Integralios pagalbos teikimas ir plėtra Kėdainių rajono savivaldybėje (ES projektas) </t>
  </si>
  <si>
    <t>Pilietiškumo, pilietinio atsparumo ir kt. mokymuose dalyvaujančiųjų skaičius</t>
  </si>
  <si>
    <t>Savivaldybės religinių bendruomenių ir bendrijų rėmimo programos įgyvendinimas</t>
  </si>
  <si>
    <t>~2200</t>
  </si>
  <si>
    <t>~2940</t>
  </si>
  <si>
    <t>~1390</t>
  </si>
  <si>
    <t>002-01-03 (T)</t>
  </si>
  <si>
    <t>002-01-06-01 (TP)</t>
  </si>
  <si>
    <t>002-01-06-02 (TP)</t>
  </si>
  <si>
    <t>002-01-06-03 (TP)</t>
  </si>
  <si>
    <t>002-01-06-04 (TP)</t>
  </si>
  <si>
    <t>002-01-07 (T)</t>
  </si>
  <si>
    <t>002-01-07-01 (TP)</t>
  </si>
  <si>
    <t>002-01-07-02 (TP)</t>
  </si>
  <si>
    <t>002-01-07-03 (TP)</t>
  </si>
  <si>
    <t>002-01-07-04 (TP)</t>
  </si>
  <si>
    <t>002-01-07-05 (TP)</t>
  </si>
  <si>
    <t>002-01-07-06 (TP)</t>
  </si>
  <si>
    <t>002-01-08 (T, P)</t>
  </si>
  <si>
    <t>002-01-08-05 (TP)</t>
  </si>
  <si>
    <t>002-01-08-06 (TP)</t>
  </si>
  <si>
    <t>002-01-08-07 (PP)</t>
  </si>
  <si>
    <t>002-01-08-08 (PP)</t>
  </si>
  <si>
    <t>002-01-08-09 (PP)</t>
  </si>
  <si>
    <t xml:space="preserve">  2028 m. asignavimai ir kitos lėšos</t>
  </si>
  <si>
    <t xml:space="preserve">Statinių, pritaikytų kolektyvinei apsaugai, skaičius </t>
  </si>
  <si>
    <t>6</t>
  </si>
  <si>
    <t>002-01-07-09 (TP)</t>
  </si>
  <si>
    <t xml:space="preserve">PATVIRTINTA </t>
  </si>
  <si>
    <t>Kėdainių rajono savivaldybės tarybos</t>
  </si>
  <si>
    <t>strateginio veiklos plano 1 priedas</t>
  </si>
  <si>
    <t>Siektinos stebėsenos rodiklių reikšmės</t>
  </si>
  <si>
    <t>~90</t>
  </si>
  <si>
    <t xml:space="preserve">Vieta pagal lyčių lygybės stebėsenos savivaldybėse rodiklius </t>
  </si>
  <si>
    <t xml:space="preserve">180,05 /3,9 </t>
  </si>
  <si>
    <t>62/20</t>
  </si>
  <si>
    <t>62/30</t>
  </si>
  <si>
    <t>62/35</t>
  </si>
  <si>
    <t>1/50</t>
  </si>
  <si>
    <t>Parengta projektinė dokumentacija/atlikta tvarkybos darbų, proc. (bendras)</t>
  </si>
  <si>
    <t>+1</t>
  </si>
  <si>
    <t>Surenkamų rūšiuojamųjų komunalinių atliekų kiekių didėjimas, proc.</t>
  </si>
  <si>
    <t>Projekto „Žaliosios infrastruktūros Kėdainių miesto urbanizuotoje aplinkoje plėtojimas“ įgyvendinimas</t>
  </si>
  <si>
    <t>Infrastruktūros plėtros sutarčių, pagal kurias išmokėtos išmokos, skaičius, vnt.</t>
  </si>
  <si>
    <t>Projekto „Geriamojo vandens tiekimo ir nuotekų tvarkymo paslaugų prieinamumo didinimas Kėdainių rajone“ įgyvendinimas</t>
  </si>
  <si>
    <t xml:space="preserve">40 /15,3 </t>
  </si>
  <si>
    <t>46 /15,4</t>
  </si>
  <si>
    <t>49,5/15,5</t>
  </si>
  <si>
    <t>003-01-07-03 (PP)</t>
  </si>
  <si>
    <t>003-01-06-02 (TP)</t>
  </si>
  <si>
    <t>Suorganizuotas jaunimo renginys</t>
  </si>
  <si>
    <t xml:space="preserve">Jaunimo užimtumo vasarą ir integracijos į darbo rinką programos įgyvendinimas, skatinimas užsiimti savanoriška veikla </t>
  </si>
  <si>
    <t>Jaunimo (14–29 m.) dalyvavimo savivaldybės formuojamos jaunimo politikos veiklose lygis, proc.</t>
  </si>
  <si>
    <t>&gt;10</t>
  </si>
  <si>
    <t>Projekto „Rūšiuojamojo atliekų surinkimo skatinimas Kėdainių rajono savivaldybėje“ įgyvendinimas</t>
  </si>
  <si>
    <t>&gt;2000 / &gt;14,5</t>
  </si>
  <si>
    <t xml:space="preserve">Organizuotų ir vykdytų sveikatinimo veiklų skaičius / sveikatinimo veiklose dalyvavusių asmenų skaičius, tūkst. </t>
  </si>
  <si>
    <t>002-01-05-03 (PP)</t>
  </si>
  <si>
    <t>002-01-05-06 (PP)</t>
  </si>
  <si>
    <t>Socialinės globos ir akredituotos socialinės priežiūros paslaugų teikimo finansavimas ne savivaldybės pavaldumo įstaigose, taip pat įstaigose, kurių dalininkė yra savivaldybė, ir nevyriausybinėse organizacijose</t>
  </si>
  <si>
    <t>2.4.2    2.4.3.</t>
  </si>
  <si>
    <t>2.4.2.9.</t>
  </si>
  <si>
    <t>002-01-07-07 (PP)</t>
  </si>
  <si>
    <t>002-01-07-08 (PP)</t>
  </si>
  <si>
    <t>002-01-08-02 (PP)</t>
  </si>
  <si>
    <t>002-01-08-10 (PP)</t>
  </si>
  <si>
    <t>002-01-03-14 (PP)</t>
  </si>
  <si>
    <t>004-01-02-08 (PP)</t>
  </si>
  <si>
    <t>001-01-02-02 (TP)</t>
  </si>
  <si>
    <t>ne mažiau 95</t>
  </si>
  <si>
    <t>~560</t>
  </si>
  <si>
    <t>~620</t>
  </si>
  <si>
    <t>Atnaujinta  infrastruktūra galėsiančių naudotis asmenų skaičiaus (tūkst.)</t>
  </si>
  <si>
    <t>Mokyklų,  organizuojančių maitinimą savarankiškai, skaičius (bendras, suminis)</t>
  </si>
  <si>
    <t>Būsto pritaikymo asmenims su negalia  organizavimas ir dalinis kompensavimas</t>
  </si>
  <si>
    <t>didesnis už LT rodiklį</t>
  </si>
  <si>
    <t>Planuojamas atkurti žemės ūkio naudmenų plotas blogos būklės melioruotoje žemėje, patenkančioje į apleistos žemės plotus, ha</t>
  </si>
  <si>
    <t>Išvengiamos hospitalizacijos skaičius 1000 gyv.</t>
  </si>
  <si>
    <t>mažėjantis</t>
  </si>
  <si>
    <t>+0,5</t>
  </si>
  <si>
    <t xml:space="preserve">Savivaldybės administracinių paslaugų suteikimo terminų laikymosi dalis , proc. </t>
  </si>
  <si>
    <t>Projekte dalyvaujančių įstaigų skaičius (tinklaveika)</t>
  </si>
  <si>
    <t>Pirmoko krepšelio  finansavimas</t>
  </si>
  <si>
    <t>Vaikų, lankančių neformaliojo vaikų švietimo mokyklas, skaičius</t>
  </si>
  <si>
    <t>Rajono NVO, dalyvavusių / įsitraukusių į Savivaldybės vykdomas priemones, skaičius</t>
  </si>
  <si>
    <t>Finansuotų bendruomeninių organizacijų veiklų projektų skaičius / įgyvendintų projekto veiklų proc.</t>
  </si>
  <si>
    <t>Finansuotų veiklų skaičius / koncertinius kostiumų komplektus ir instrumentus atsinaujinusių kolektyvų skaičius</t>
  </si>
  <si>
    <t xml:space="preserve">Lėšų, skirtų infrastruktūrai gerinti, materialinę ir edukacinę aplinką modernizuoti, vadovaujantis UD principais, finansuoti, panaudojimas </t>
  </si>
  <si>
    <t>Sveikatos priežiūros paslaugų prieinamumo ir naudojimo rodiklis (apsilankymai pas gydytojus ir odontologus, tenkantis 100 gyventojų, palyginti su Lietuvos vidurkiu)</t>
  </si>
  <si>
    <t>Vaikų, turinčių  autizmo spektro ir kitų raidos sutrikimų, sveikatos stiprinimas, galimybių siekti asmeninės pažangos, visaverčio socialinio dalyvavimo prielaidų užtikrinimas</t>
  </si>
  <si>
    <t xml:space="preserve">Kompensacijų teikimo, jų gavėjams užtikrinimas, proc. </t>
  </si>
  <si>
    <t>Patalpų, pritaikytų priedangoms, skaičius</t>
  </si>
  <si>
    <t>Socialines paslaugas teikiančių įstaigų, socialinių būstų infrastruktūrinei gerovei skiriamų lėšų dalis, nuo bendrų išlaidų, skiriamų rajono infrastruktūrai gerinti (visi šaltiniai), proc.</t>
  </si>
  <si>
    <t>Invazinių augalų augaviečių skaičiaus sumažėjimas Kėdainių r. sav., proc.</t>
  </si>
  <si>
    <t>Žemės ūkio subjektų pateiktų ir nagrinėjamų prašymų, paraiškų, aptarnaujamos žemės ūkio technikos, įregistruotos rajone, ir atliktų techninių apžiūrų skaičius</t>
  </si>
  <si>
    <t xml:space="preserve">Valstybės perduotų savivaldybei funkcijų vykdymas melioracijos srityje, remontuojant valstybei nuosavybės teise priklausančią melioracijos, hidrotechnikos infrastruktūrą </t>
  </si>
  <si>
    <t>Lankytinų objektų ir jų teritorijų,  kultūros paveldo objektų ar objektų, esančių kultūros paveldo teritorijų prieigose, tvarkybos dokumentacijos rengimas, objektų atnaujinimas</t>
  </si>
  <si>
    <t>Sudaryti sąlygas kokybiškai įgyvendinti teisės aktuose nustatytas Savivaldybei funkcijas, mažinant administracinę naštą, įgyvendinant lygias galimybes bei korupcijos prevencijos priemones</t>
  </si>
  <si>
    <t>Paskolų grąžinimas, palūkanų ir paskolų tvarkymo išlaidų apmokėjimas</t>
  </si>
  <si>
    <t>Vietos bendruomenės įsitraukimas (proc.) dalyvaujamojo biudžeto procese,nuo visų rajono gyventojų turinčių balsavimo teisę pagal Aprašą (nuo 16 metų)</t>
  </si>
  <si>
    <t>IV SKYRIUS. 3 lentelė. 2026–2028 m. programų uždaviniai, priemonės bei jų stebėsenos rodikliai, asignavimai ir kitos lėšos (tūkst. Eur)</t>
  </si>
  <si>
    <r>
      <rPr>
        <b/>
        <u/>
        <sz val="12"/>
        <color theme="4" tint="-0.249977111117893"/>
        <rFont val="Times New Roman"/>
        <family val="1"/>
      </rPr>
      <t xml:space="preserve">IV SKYRIUS. 3.2 lentelė. 2026–2028 m.  SOCIALINĖS GEROVĖS UŽTIKRINIMO  </t>
    </r>
    <r>
      <rPr>
        <b/>
        <sz val="12"/>
        <color theme="4" tint="-0.249977111117893"/>
        <rFont val="Times New Roman"/>
        <family val="1"/>
      </rPr>
      <t>PROGRAMOS (02) programų uždaviniai, priemonės bei jų stebėsenos rodikliai, asignavimai ir kitos lėšos (tūkst. Eur)</t>
    </r>
  </si>
  <si>
    <r>
      <t xml:space="preserve">IV SKYRIUS. 3.3 lentelė. 2026–2028 m. </t>
    </r>
    <r>
      <rPr>
        <b/>
        <u/>
        <sz val="12"/>
        <color theme="4" tint="-0.249977111117893"/>
        <rFont val="Times New Roman"/>
        <family val="1"/>
      </rPr>
      <t xml:space="preserve">DARNIOS APLINKOS IR INFRASTRUKTŪROS PLĖTROS PROGRAMOS (03) 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</si>
  <si>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</rPr>
      <t>IV SKYRIUS. 3.4 lentelė. 2026–2028 m.  EKONOMINĖS PLĖTROS PROGRAMOS</t>
    </r>
    <r>
      <rPr>
        <b/>
        <sz val="12"/>
        <color theme="4" tint="-0.249977111117893"/>
        <rFont val="Times New Roman"/>
        <family val="1"/>
      </rPr>
      <t xml:space="preserve"> (04)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</si>
  <si>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  <charset val="186"/>
      </rPr>
      <t>IV SKYRIUS. 3.5 lentelė. 2026–2028 m.  SAVIVALDYBĖS VALDYMO TOBULINIMO PROGRAMOS</t>
    </r>
    <r>
      <rPr>
        <b/>
        <sz val="12"/>
        <color theme="4" tint="-0.249977111117893"/>
        <rFont val="Times New Roman"/>
        <family val="1"/>
        <charset val="186"/>
      </rPr>
      <t xml:space="preserve"> (05)  programų uždaviniai, priemonės bei jų stebėsenos rodikliai, asignavimai ir kitos lėšos (tūkst. Eur)</t>
    </r>
  </si>
  <si>
    <t xml:space="preserve">IV SKYRIUS. 3.6 lentelė. 2026–2028 m. programų asignavimai ir kitos lėšos (tūkst. Eur) </t>
  </si>
  <si>
    <t xml:space="preserve">Kėdainių rajono savivaldybės  2026–2028 m. </t>
  </si>
  <si>
    <t>97</t>
  </si>
  <si>
    <t>98</t>
  </si>
  <si>
    <t>2026  m. vasario 20 d.  sprendimu Nr. TS-33</t>
  </si>
  <si>
    <t>002-01-01 (T, PP)</t>
  </si>
  <si>
    <t>003-01-02-03 (TP)</t>
  </si>
  <si>
    <t>004-01-04-01 (TP)</t>
  </si>
  <si>
    <t>PATIKSLINTI      2026 m. asignavimai ir kitos lėšos</t>
  </si>
  <si>
    <t xml:space="preserve">Komentarai, pastabos </t>
  </si>
  <si>
    <t>003-01-07-05 (TP)</t>
  </si>
  <si>
    <t>Nuostolių, susidariusių dėl būtinų keleivinio transporto paslaugų teikimo visuomenei, apmokėjimas</t>
  </si>
  <si>
    <t>Autobusų maršrutų skaičius</t>
  </si>
  <si>
    <t>003-01-07-06 (TP)</t>
  </si>
  <si>
    <t>Inžinerinių paslaugų, darbų ir įrenginių finansavimas</t>
  </si>
  <si>
    <t>3.2.2.2.</t>
  </si>
  <si>
    <t>Tikslingas finansavimas reikalingiems darbams atlikti pagal poreikį, proc.</t>
  </si>
  <si>
    <t>003-01-08 (T)</t>
  </si>
  <si>
    <t>Vystyti gyvenamąją aplinką, užtikrinant viešosios infrastruktūros priežiūrą, atnaujinimą ir tinkamą naudojimą</t>
  </si>
  <si>
    <t>Atnaujintų arba naujai įrengtų daugiabučių namų bendro naudojimo erdvių plotas, m2</t>
  </si>
  <si>
    <t>~9000</t>
  </si>
  <si>
    <t>003-01-08-01 (TP)</t>
  </si>
  <si>
    <t>Seniūnijų administracinių pastatų atnaujinimas</t>
  </si>
  <si>
    <t>Atnaujinamų seniūnijų pastatų, skaičius</t>
  </si>
  <si>
    <t>0</t>
  </si>
  <si>
    <t>003-01-08-02 (TP)</t>
  </si>
  <si>
    <t>Biudžetinių įstaigų stogų remontas</t>
  </si>
  <si>
    <t>Pastatų, kurių stogai remontuoti, skaičius</t>
  </si>
  <si>
    <t>003-01-08-03 (TP)</t>
  </si>
  <si>
    <t xml:space="preserve">Kompleksiškas daugiabučių gyvenamųjų namų kvartalų atnaujinimas </t>
  </si>
  <si>
    <t>3.1.1.7</t>
  </si>
  <si>
    <t>Atnaujinamų teritorijų skaičius, m</t>
  </si>
  <si>
    <t>003-01-08-04 (TP)</t>
  </si>
  <si>
    <t>Infrastruktūros plėtros techninės dokumentacijos rengimas ir infrastruktūros gerinimo darbai (SĮP)</t>
  </si>
  <si>
    <t xml:space="preserve">Parengtų techninių dokumentacijų skaičius </t>
  </si>
  <si>
    <t>003-01-08-05 (TP)</t>
  </si>
  <si>
    <t>Europos Sąjungos infrastruktūros projektų, kuriems taikomas apmokėjimas kompensavimo būdu, išlaidų apmokėjimas</t>
  </si>
  <si>
    <t>PATIKSLINTI                         2026 m. asignavimai ir kitos lėšos</t>
  </si>
  <si>
    <t>TIKSLINIMAS         2026 m.</t>
  </si>
  <si>
    <t>PATIKSLINTI                       2026 m.</t>
  </si>
  <si>
    <t>002-01-01-07 (TP)</t>
  </si>
  <si>
    <t>Gydytojų rezidentų praktinio mokymo modelio įgyvendinimas VšĮ Kėdainių ligoninėje ir VšĮ Pirminiame sveikatos priežiūros centre</t>
  </si>
  <si>
    <t>Rezidentūros bazių, kuriose gydytojai rezidentai atliks profesinės veiklos praktiką ir bus įdarbinti gydytojais rezidentais, skaičius</t>
  </si>
  <si>
    <t>11/3</t>
  </si>
  <si>
    <t>40/100</t>
  </si>
  <si>
    <t>37/100</t>
  </si>
  <si>
    <t>22</t>
  </si>
  <si>
    <t>50/6</t>
  </si>
  <si>
    <t>16/ 4000</t>
  </si>
  <si>
    <t>004-01-01-05 (PP)</t>
  </si>
  <si>
    <t>Modernizuotų priedangų skaičius /įrengtų daugiafunkcių priedangų talpumas, asmenys</t>
  </si>
  <si>
    <t>002-01-07-10 (PP)</t>
  </si>
  <si>
    <t>002-01-07-11 (PP)</t>
  </si>
  <si>
    <t>Įdiegtos vandenviečių, viešųjų geriamojo vandens tiekėjų ir nuotekų tvarkytojų valdymo centrų apsaugos priemonės, jų skaičius</t>
  </si>
  <si>
    <r>
      <t xml:space="preserve">Projekto „Darnaus judumo mieste skatinimas, plėtojant dviračių bei pėsčiųjų takų infrastruktūrą“ įgyvendinimas </t>
    </r>
    <r>
      <rPr>
        <sz val="11"/>
        <color rgb="FF00863D"/>
        <rFont val="Times New Roman"/>
        <family val="1"/>
        <charset val="186"/>
      </rPr>
      <t xml:space="preserve">(I ir II etapai) </t>
    </r>
  </si>
  <si>
    <t>15/25</t>
  </si>
  <si>
    <t>480</t>
  </si>
  <si>
    <t xml:space="preserve">Pagerintos susisiekimo infrastruktūros dalis, m. </t>
  </si>
  <si>
    <t xml:space="preserve">Parengtų įstaigų pastatų modernizavimo techninės dokumentacijos / atnaujinamų infrastruktūros objektų skaičius </t>
  </si>
  <si>
    <t>Nutiestų tinklų, pakeistų atramų, šviestuvų skaičius</t>
  </si>
  <si>
    <t xml:space="preserve">Nauja priemonė. Paskelbus kvietimą kovo mėn., teikta paraiška, gautas tikslinis finansavimas, vykdomi darbai. </t>
  </si>
  <si>
    <t>Projekto „Kokybiškų visuomenės sveikatos paslaugų prieinamumo didinimas Kėdainių rajone„ įgyvendinimas</t>
  </si>
  <si>
    <t>„Tūkstantmečio mokyklos I“  projekto įgyvendinimas</t>
  </si>
  <si>
    <t>Projekto „Išmaniųjų akademija“  įgyvendinimas (ES projekto „Kauno regiono funkcinės zonos strategija“ dalis)</t>
  </si>
  <si>
    <t>Projekto „Ugdymo prieinamumo didinimas atskirtį patiriantiems vaikams Kėdainių „Ryto“ ir Kėdainių senamiesčio progimnazijose“ įgyvendinimas</t>
  </si>
  <si>
    <t>Projekto „Įvairialypio švietimo plėtojimas Kėdainių „Aušros“ progimnazijoje ir Vilainių mokykloje-darželyje „Obelėlė“, vykdant visos dienos mokyklos veiklą“  įgyvendinimas</t>
  </si>
  <si>
    <t>Interreg Lietuvos-Lenkijos projekto “SEEHEARACT“ kofinansavimas, atnaujinant  Kėdainių krašto muziejaus ekspozicijas</t>
  </si>
  <si>
    <t>Visuomenės sveikatos biuro veiklos užtikrinimas, vykdant visuomenės sveikatos priežiūros funkcijas, plėtojant sveiką gyvenseną bendruomenėje, tęsiant „Jaunimui palankios sveikatos priežiūros paslaugos“  bei „Neįtikėtini metai“  projektų veiklas</t>
  </si>
  <si>
    <t>Projekto „Sveikatos priežiūros specialistų rengimas, pritraukimas Kėdainių rajono savivaldybėje“  įgyvendinimas</t>
  </si>
  <si>
    <t>Projekto „Sveikatos centro sudėtyje teikiamų sveikatos priežiūros paslaugų infrastruktūros modernizavimas Kėdainių rajono savivaldybėje“  įgyvendinimas</t>
  </si>
  <si>
    <t>Projekto „Ilgalaikės priežiūros paslaugų plėtojimo užtikrinimas“  įgyvendinimas</t>
  </si>
  <si>
    <t>Projekto „Sveikatos centro veiklos modelio diegimas Kėdainių rajono savivaldybėje“  įgyvendinimas</t>
  </si>
  <si>
    <t>Projekto „ Integracijos tiltai: Paslaugų teikimas užsienio kilmės Lietuvos gyventojams Kėdainių rajone“  įgyvendinimas</t>
  </si>
  <si>
    <t>Projekto „Asmenų su intelekto ir (ar) psichikos negalia institucinės globos pertvarkos įgyvendinimas Kėdainių rajono savivaldybėje, įsteigiant socialines dirbtuves“  įgyvendinimas</t>
  </si>
  <si>
    <t>Projekto „Priedangų modernizavimas, didinant jų atsparumą ir pritaikymą riboto judumo asmenims“  įgyvendinimas</t>
  </si>
  <si>
    <t>Projekto „Geriamojo vandens tiekimo infrastruktūros saugumo didinimas Kėdainių rajono savivaldybėje“  įgyvendinimas</t>
  </si>
  <si>
    <t>Projekto „Socialinio būsto fondo neįgaliesiems ir gausioms šeimoms plėtra“  įgyvendinimas</t>
  </si>
  <si>
    <t>Projekto „Asmenų su intelekto ir psichikos negalia institucinės globos pertvarkos įgyvendinimas Kėdainių rajono savivaldybėje, įsteigiant grupinius gyvenimo namus“ įgyvendinimas</t>
  </si>
  <si>
    <t>Projekto „Asmenų su intelekto ir psichikos negalia institucinės globos pertvarkos įgyvendinimas Kėdainių rajono savivaldybėje, įsigyjant apsaugotus būstus“ įgyvendinimas</t>
  </si>
  <si>
    <t>Projekto „Socialinių paslaugų įstaigų senyvo amžiaus asmenims infrastruktūros modernizavimas ir plėtra Kėdainių rajono savivaldybėje“  įgyvendinimas</t>
  </si>
  <si>
    <t>Projekto „Nestacionarių socialinių paslaugų infrastruktūros modernizavimas Kėdainių rajono savivaldybėje“  įgyvendinimas</t>
  </si>
  <si>
    <t>Dalyvavimas projekte „Inkubavimo, konsultavimo, mentorystės ir tinklaveikos programų vystymas, skatinant pradedančiųjų SVV subjektų kūrimąsi ir augimą regionuose“ partnerio teisėmis</t>
  </si>
  <si>
    <t>Projekto „Kėdainių miesto viešosios infrastruktūros, svarbios verslui, atnaujinimas ir plėtra“ įgyvendinimas</t>
  </si>
  <si>
    <t xml:space="preserve">Projekto „Kultūros paveldo ir gamtos objektų pritaikymas lankyti Kėdainių rajono savivaldybėje„ įgyvendinimas (ES projekto „Kauno regiono funkcinės zonos strategija“  dalis) </t>
  </si>
  <si>
    <t xml:space="preserve">IT sistemų atnaujinimas, priežiūra, kibernetinio saugumo užtikrinimas, kolokacijos paslauga Valstybės duomenų centre, bendradarbiavimas dėl VDV IS, apimant „duomenų ežerą“ </t>
  </si>
  <si>
    <t>Sporto programų finansavimas</t>
  </si>
  <si>
    <t>~33</t>
  </si>
  <si>
    <t xml:space="preserve">Įstaigų skaičius, kuriose atlikti remonto darbai </t>
  </si>
  <si>
    <t>40</t>
  </si>
  <si>
    <r>
      <t xml:space="preserve">Projekto „Priedangų infrastruktūros plėtra Kėdainių rajono savivaldybėje“  įgyvendinimas </t>
    </r>
    <r>
      <rPr>
        <sz val="11"/>
        <color rgb="FF00B050"/>
        <rFont val="Times New Roman"/>
        <family val="1"/>
        <charset val="186"/>
      </rPr>
      <t>(I ir II etapai)</t>
    </r>
  </si>
  <si>
    <r>
      <t xml:space="preserve">Projekto „Pasirengimas evakuojamus gyventojus laikinai apgyvendinti kolektyvinės apsaugos statiniuose“  įgyvendinimas </t>
    </r>
    <r>
      <rPr>
        <sz val="11"/>
        <color rgb="FF00B050"/>
        <rFont val="Times New Roman"/>
        <family val="1"/>
        <charset val="186"/>
      </rPr>
      <t>(I ir II etapai)</t>
    </r>
  </si>
  <si>
    <t>Tikslinamos lėšos pagal įvykdytą viešąjį pirkimą</t>
  </si>
  <si>
    <t>Lėšos patikslintos, vadovaujantis balandžio ir gegužės mėn. biudžetu</t>
  </si>
  <si>
    <t xml:space="preserve">Tikslinama rodiklio reikšmė, pagal įvykusio konkurso duomenis </t>
  </si>
  <si>
    <t xml:space="preserve">Savivaldybės savo indėliu prisidėjusi prie plėtros strategijos projektų, skaičius </t>
  </si>
  <si>
    <t>Lėšos patikslintos, vadovaujantis balandžio mėn. biudžetu:  tikslinės SBVB. Tikslinama rodiklio reikšmė</t>
  </si>
  <si>
    <t xml:space="preserve">Papildoma SB ir SBVB lėšomis, kadangi pateiktos ir vertinamos paraiškos l/d Kaštono ir Aviliuko modernizavimui. </t>
  </si>
  <si>
    <t>Projektas įgyvendinamas, papildomos lėšos numatomos dėl elektros galios didinimo</t>
  </si>
  <si>
    <t xml:space="preserve">Lėšos tikslinamos pagal sudarytas ir pasirašytas sutartis po konkurso </t>
  </si>
  <si>
    <t xml:space="preserve">Įtraukiama nauja priemonė. Skirta tikslinė dotacija. </t>
  </si>
  <si>
    <t>Lėšos patikslintos, vadovaujantis gegužės mėn. biudžeto pakeitimu</t>
  </si>
  <si>
    <t>Didinamas SB finansavimas, kompensuojant kelionių išlaidas,  mokiniams ir juos lydintiems mokytojams vykstant į olimpiadas, konkursus. Tikslinama rodiklio reikšmė pagal faktą</t>
  </si>
  <si>
    <t>001-01-04-05 (TP)</t>
  </si>
  <si>
    <t>0/1</t>
  </si>
  <si>
    <t>1/1</t>
  </si>
  <si>
    <t>Tikslinami 2027 m. duomenys, numatant "Aušros" progimnazijos aikštyno rekonstrukciją pagal priimtą tarybos sprendimą ir teikiamą paraišką</t>
  </si>
  <si>
    <t xml:space="preserve">56 tūkst. Eur atkeliami iš Kėdainių sporto centro, nes KK „Kėdainių SC“ komandos dalyvavimo Nacionalinės krepšinio lygos 2026/2027 m. sezone vykdymą perima VšĮ „Kėdainių krepšinis“ (iš viso KKL buvo skirta 105 t. Eur) . 2027-2028 m. numatytos lėšos KKL atkeliamos iš Sporto centro asignavimų. </t>
  </si>
  <si>
    <t xml:space="preserve">Muziejus didinasi įplaukas </t>
  </si>
  <si>
    <t>SBVB lėšos patikslintos, vadovaujantis balandžio ir gegužės mėn. biudžetu bei Ministro įsakymu dėl dotacijos skyrimo Radviliados, Č.Milošo ir kt. renginiams/kultūriniams projektams.</t>
  </si>
  <si>
    <t>Tikslinamos lėšos, susijusios su Šėtos socialinio ir ugdymo centro funkcijų pakeitimu ir jo tapimu Šėtos socialinės globos namais</t>
  </si>
  <si>
    <t>Tikslinama dotacija, vadovaujantis SADM ministro įsakymu</t>
  </si>
  <si>
    <t>Surinkus daugiau Aplinkos apsaugos specialiosios rėmimo programos lėšų, proporcingai didėja ir Sveikatos sričiai tenkantis finansavimas, sudarantis 20 proc. programos paskirstymo.</t>
  </si>
  <si>
    <t>Lėšos patikslintos, vadovaujantis gegužės mėn. biudžeto pakeitimu ir atsižvelgiant į projekto veiklų įgyvendinimą (vykdomas projektavimas, klinikos perka įrangą, priemones)</t>
  </si>
  <si>
    <t>002-01-01-08 (PP)</t>
  </si>
  <si>
    <t>Asmens sveikatos priežiūros įstaigų, kuriose integruotas antimikrobinio atsparumo valdymo modelis, skaičius / taikomų bandomųjų modelių skaičius</t>
  </si>
  <si>
    <t>Įtraukiama nauja priemonė. Skirta tikslinė dotacija</t>
  </si>
  <si>
    <t>Finansavimas patikslinamas, vadovaujantis balandžio mėn. biudžeto pakeitimu</t>
  </si>
  <si>
    <t>Lėšos perskirstomos projekto įgyvendinimo laikotarpyje  pagal pasirašytas projektavimo, ekspertizių, rangos darbų sutartis</t>
  </si>
  <si>
    <t>Finansavimas patikslinamas, vadovaujantis gegužės  mėn. biudžeto pakeitimu</t>
  </si>
  <si>
    <t>Finansavimas patikslinamas, vadovaujantis balandžio  mėn. biudžeto pakeitimu</t>
  </si>
  <si>
    <t xml:space="preserve">Tikslinama stebėsenos rodiklio reikšmė po įvykusio konkurso ir pasirašytos sutarties </t>
  </si>
  <si>
    <t xml:space="preserve">Tikslinama stebėsenos rodiklio reikšmė po įvykusio konkurso ir pasirašytų sutarčių </t>
  </si>
  <si>
    <t>Duomenys tikslinami vadovaujantis balandžio, gegužės mėn. biudžeto pakeitimais</t>
  </si>
  <si>
    <t>Universalaus dengto maniežo statybos projekto parengimas</t>
  </si>
  <si>
    <t>Dalyvavimas projekte „Antimikrobinio atsparumo valdymo plėtojimas"</t>
  </si>
  <si>
    <t>Tikslinamas SB lėšų poreikis pagal parengtą Gedimino g. ir Sodų g.  apšvietimo įrengimo/ modernizavimo projektus</t>
  </si>
  <si>
    <t>1500/35/60</t>
  </si>
  <si>
    <t xml:space="preserve">Skirtas 2026 m. tikslinis finansavimas elektros galios didinimui </t>
  </si>
  <si>
    <t>Susisiekimo infrastruktūros su pramoninėmis teritorijomis  modernizavimas Kėdainiuose (Biochemikų g.)</t>
  </si>
  <si>
    <t>Projektas įgyvendinamas,  finansavimas tikslinamas pagal veiklų įgyvendinimo spartą</t>
  </si>
  <si>
    <r>
      <t xml:space="preserve">IV SKYRIUS. 3.1 lentelė. 2026–2028 m.   </t>
    </r>
    <r>
      <rPr>
        <b/>
        <u/>
        <sz val="12"/>
        <color theme="4" tint="-0.249977111117893"/>
        <rFont val="Times New Roman"/>
        <family val="1"/>
      </rPr>
      <t>AKTYVIOS VISUOMENĖS UGDYMO PROGRAMOS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</si>
  <si>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t xml:space="preserve">ĮP lėšos tikslinamos pagal gegužės mėn. biudžeto pakeitimus </t>
  </si>
  <si>
    <t>Lėšos patikslintos, vadovaujantis balandžio mėn. biudžeto pakeitimais: gavus SBVB tikslines lėšas, atitinkamai  koreguojant SB lėšas</t>
  </si>
  <si>
    <t>Projektas vykdomas. 2026 m. įrengta edukacinė kulinarinė erdvė ir nupirkta įranga. Lėšos perskirstomos į 2027 m., kadangi likusios 3 edukacinės erdvės bus įrengiamos pasibaigus mokslo metams</t>
  </si>
  <si>
    <t xml:space="preserve">Lėšos patikslintos, vadovaujantis balandžio mėn. biudžetu: gautos tikslinės SBVB </t>
  </si>
  <si>
    <t>Tikslinamas savivaldybės indėlis projektų įgyvendinimui, t.y. perskirstoma tarp 2026/2027 m.</t>
  </si>
  <si>
    <t xml:space="preserve">56 tūkst. Eur iškeliama į Sporto programų finansavimo eilutę, nes krepšinis „Kėdainių SC“ komandos dalyvavimo Nacionalinės krepšinio lygos 2026/2027 m. sezone vykdymą perima VšĮ „Kėdainių krepšinis“. 2027-2028 m. numatytos lėšos KKL perkeliamos prie Sporto programų finansavimo eilutės taip pat. SBVB lėšos patikslintos su balandžio mėn. biudžetu. </t>
  </si>
  <si>
    <t>Koreguojamas priemonės pavadinimas, išplečiant sportines veiklas. Lėšų numatymas projektavimui</t>
  </si>
  <si>
    <t xml:space="preserve">Projektas įgyvendinamas. Koreguojamos lėšos pagal pasirašytą sutartį, vykdomus darbus, perkamą įrangą. </t>
  </si>
  <si>
    <t>Projekto paraiškos teikėjas  Kauno RAC. Partnerių - 4 savivaldybės.  Derintos procedūros, rengtas investicinis projektas, pateikta paraiška, kuri šiuo metu yra vertinama. Išlaidų 2026 m. nebus patirta</t>
  </si>
  <si>
    <t>Surinkus daugiau Aplinkos apsaugos specialiosios rėmimo programos lėšų, pagal esamą poreikį investicijos nukreipiamos asbesto atliekų, bešeimininkių padangų tvarkybai, papildomų konteinerių aikštelių įrengimui mieste ir rajone</t>
  </si>
  <si>
    <t>Surinkus daugiau Aplinkos apsaugos specialiosios rėmimo programos lėšų, investicijos nukreipiamos želdynui daugiametėmis gėlėmis kūrimui, medžių šalinimo, po audros, darbams</t>
  </si>
  <si>
    <t>Didinamos SB lėšos pagal poreikį sirenų išplėtimui kaimiškosiose seniūnijose (Pagiriai, Lančiūnava, Surviliškis)</t>
  </si>
  <si>
    <t xml:space="preserve">Tikslinami 2026 m. duomenys pagal sudarytas ir pasirašytas sutartis po konkurso </t>
  </si>
  <si>
    <t xml:space="preserve">Įtraukiamas projekto II etapas ir suplanuojamos lėšos jo įgyvendinimui 2027 m.(planuojama įrengti dar 5 patalpas, pritaikytas priedangoms). 2026 m. tikslinama rodiklio reikšmė, nes papildomai bus įrengta patalpa Krakių gimnazijoje </t>
  </si>
  <si>
    <t>Įtraukiamas projekto II etapas ir suplanuojamos lėšos jo įgyvendinimui 2027 m.(planuojama įsigyti reikalingos įrangos 2 įstaigoms)</t>
  </si>
  <si>
    <t>Įtraukiama nauja priemonė, naujas projektas 2027/2029 m. Planuojama projekto vertė ~1,6 mln. Eur. Planuojamu atnaujinti priedangų -5, asmenų talpumas -1108</t>
  </si>
  <si>
    <t>Nauja priemonė. Planuojama vertė ~ 1,5 mln. Eur. Kofinansavimas - 5 proc. Vandenviečių - 30.</t>
  </si>
  <si>
    <t xml:space="preserve">Teikta paraiška, pasirašyta finansavimo sutartis. Kadangi projekto veiklos patenka į Kultūros paveldo teritoriją, veiksmai derinami su KPD. Visos veiklos bus įgyvendintos 2027 m. </t>
  </si>
  <si>
    <t xml:space="preserve">Lyginamasis variantas </t>
  </si>
  <si>
    <t>Skirta tikslinė dotacija, vadovaujantis SADM ministro įsakymu</t>
  </si>
  <si>
    <t>SB lėšos padidintos balandžio mėn. tarybos sprendimu tikslinant Biudžetą. Papildomos lėšos buvo numatytos Senamiesčio progimnazijai</t>
  </si>
  <si>
    <t xml:space="preserve">IŠ VISO </t>
  </si>
  <si>
    <r>
      <rPr>
        <b/>
        <sz val="10"/>
        <color rgb="FF00863D"/>
        <rFont val="Times New Roman"/>
        <family val="1"/>
        <charset val="186"/>
      </rPr>
      <t>TIKSLINIMAS</t>
    </r>
    <r>
      <rPr>
        <b/>
        <sz val="11"/>
        <color rgb="FF00863D"/>
        <rFont val="Times New Roman"/>
        <family val="1"/>
        <charset val="186"/>
      </rPr>
      <t xml:space="preserve"> 2026 m.</t>
    </r>
  </si>
  <si>
    <t>* 2026 m. asignavimai ir kitos lėšos</t>
  </si>
  <si>
    <t>* 2026-02-20 rajono tarybos sprendimas Nr. TS-33 "Dėl Kėdainių rjaono savivaldybės 2026-2028 m. strateginio veiklos plano tvirtinimo"</t>
  </si>
  <si>
    <t xml:space="preserve">Projekto veiklos įgyvendintos, papildomų numatytų savivaldybės biudžeto lėšų nebuvo patirta </t>
  </si>
  <si>
    <t>Pilkuose langeliuose žaliai pažymėta informacija – tai kartu su rugsėjo mėnesio Biudžete siūlomi pakeitimai. </t>
  </si>
  <si>
    <t>Žalia spalva paryškinti pakeitimai – tai jau atlikti pakeitimai pagal 2026 m. Biudžeto balandžio, gegužės ir birželio mėnesių pakeitimus</t>
  </si>
  <si>
    <t xml:space="preserve">2026 m. +/-pokytis tūkst. Eur </t>
  </si>
  <si>
    <t>TIKSLINIMAS 2026 m</t>
  </si>
  <si>
    <t xml:space="preserve">2026 m.  +/-                   pokytis tūkst. Eur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</si>
</sst>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t_-;\-* #,##0.00\ _L_t_-;_-* &quot;-&quot;??\ _L_t_-;_-@_-"/>
    <numFmt numFmtId="165" formatCode="0.0"/>
    <numFmt numFmtId="166" formatCode="#,##0.0"/>
  </numFmts>
  <fonts count="146" x14ac:knownFonts="1">
    <font>
      <sz val="10"/>
      <name val="Arial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9"/>
      <color theme="1"/>
      <name val="Times New Roman"/>
      <family val="1"/>
      <charset val="186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  <charset val="186"/>
    </font>
    <font>
      <sz val="10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b/>
      <sz val="10.5"/>
      <name val="Times New Roman"/>
      <family val="1"/>
    </font>
    <font>
      <i/>
      <sz val="11"/>
      <color rgb="FF0070C0"/>
      <name val="Times New Roman"/>
      <family val="1"/>
    </font>
    <font>
      <sz val="14"/>
      <name val="Times New Roman"/>
      <family val="1"/>
    </font>
    <font>
      <u/>
      <sz val="9"/>
      <name val="Times New Roman"/>
      <family val="1"/>
    </font>
    <font>
      <sz val="11"/>
      <name val="Arial"/>
      <family val="2"/>
      <charset val="186"/>
    </font>
    <font>
      <sz val="10"/>
      <color rgb="FF002060"/>
      <name val="Times New Roman"/>
      <family val="1"/>
    </font>
    <font>
      <b/>
      <sz val="11"/>
      <color rgb="FF002060"/>
      <name val="Times New Roman"/>
      <family val="1"/>
    </font>
    <font>
      <sz val="11"/>
      <color rgb="FF002060"/>
      <name val="Times New Roman"/>
      <family val="1"/>
    </font>
    <font>
      <b/>
      <sz val="10"/>
      <color rgb="FF002060"/>
      <name val="Times New Roman"/>
      <family val="1"/>
    </font>
    <font>
      <sz val="9"/>
      <color rgb="FF002060"/>
      <name val="Times New Roman"/>
      <family val="1"/>
    </font>
    <font>
      <sz val="9"/>
      <color rgb="FF002060"/>
      <name val="Times New Roman"/>
      <family val="1"/>
      <charset val="186"/>
    </font>
    <font>
      <b/>
      <sz val="9"/>
      <color rgb="FF002060"/>
      <name val="Times New Roman"/>
      <family val="1"/>
    </font>
    <font>
      <sz val="10"/>
      <color rgb="FF002060"/>
      <name val="Arial"/>
      <family val="2"/>
      <charset val="186"/>
    </font>
    <font>
      <sz val="11"/>
      <color rgb="FF002060"/>
      <name val="Arial"/>
      <family val="2"/>
      <charset val="186"/>
    </font>
    <font>
      <i/>
      <sz val="10"/>
      <name val="Arial"/>
      <family val="2"/>
      <charset val="186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color rgb="FF0070C0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10.5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rgb="FFFF0000"/>
      <name val="Times New Roman"/>
      <family val="1"/>
      <charset val="186"/>
    </font>
    <font>
      <sz val="10.5"/>
      <color theme="1"/>
      <name val="Times New Roman"/>
      <family val="1"/>
      <charset val="186"/>
    </font>
    <font>
      <sz val="10.5"/>
      <name val="Arial"/>
      <family val="2"/>
      <charset val="186"/>
    </font>
    <font>
      <i/>
      <sz val="10.5"/>
      <name val="Times New Roman"/>
      <family val="1"/>
      <charset val="186"/>
    </font>
    <font>
      <sz val="10.5"/>
      <color rgb="FFFF0000"/>
      <name val="Arial"/>
      <family val="2"/>
      <charset val="186"/>
    </font>
    <font>
      <b/>
      <sz val="10.5"/>
      <color rgb="FFFF0000"/>
      <name val="Times New Roman"/>
      <family val="1"/>
      <charset val="186"/>
    </font>
    <font>
      <sz val="10.5"/>
      <color theme="1"/>
      <name val="Arial"/>
      <family val="2"/>
      <charset val="186"/>
    </font>
    <font>
      <i/>
      <sz val="10.5"/>
      <color rgb="FFFF0000"/>
      <name val="Times New Roman"/>
      <family val="1"/>
      <charset val="186"/>
    </font>
    <font>
      <b/>
      <sz val="14"/>
      <color theme="1"/>
      <name val="Times New Roman"/>
      <family val="1"/>
    </font>
    <font>
      <i/>
      <sz val="10.5"/>
      <name val="Times New Roman"/>
      <family val="1"/>
    </font>
    <font>
      <sz val="10.5"/>
      <name val="Times New Roman"/>
      <family val="1"/>
    </font>
    <font>
      <b/>
      <sz val="11"/>
      <color theme="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2"/>
      <color theme="4" tint="-0.249977111117893"/>
      <name val="Times New Roman"/>
      <family val="1"/>
    </font>
    <font>
      <b/>
      <u/>
      <sz val="12"/>
      <color theme="4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2"/>
      <color theme="0"/>
      <name val="Times New Roman"/>
      <family val="1"/>
      <charset val="186"/>
    </font>
    <font>
      <b/>
      <sz val="12"/>
      <color theme="0"/>
      <name val="Arial"/>
      <family val="2"/>
      <charset val="186"/>
    </font>
    <font>
      <sz val="12"/>
      <color theme="0"/>
      <name val="Times New Roman"/>
      <family val="1"/>
      <charset val="186"/>
    </font>
    <font>
      <sz val="12"/>
      <color theme="1"/>
      <name val="Times New Roman"/>
      <family val="1"/>
    </font>
    <font>
      <b/>
      <sz val="13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.5"/>
      <color theme="0"/>
      <name val="Times New Roman"/>
      <family val="1"/>
      <charset val="186"/>
    </font>
    <font>
      <b/>
      <i/>
      <sz val="12"/>
      <color theme="0"/>
      <name val="Times New Roman"/>
      <family val="1"/>
    </font>
    <font>
      <b/>
      <sz val="12"/>
      <color theme="4" tint="-0.249977111117893"/>
      <name val="Times New Roman"/>
      <family val="1"/>
      <charset val="186"/>
    </font>
    <font>
      <b/>
      <u/>
      <sz val="12"/>
      <color theme="4" tint="-0.249977111117893"/>
      <name val="Times New Roman"/>
      <family val="1"/>
      <charset val="186"/>
    </font>
    <font>
      <b/>
      <sz val="10"/>
      <color theme="0"/>
      <name val="Times New Roman"/>
      <family val="1"/>
    </font>
    <font>
      <b/>
      <sz val="10.5"/>
      <color theme="0"/>
      <name val="Times New Roman"/>
      <family val="1"/>
    </font>
    <font>
      <b/>
      <sz val="14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1"/>
      <color rgb="FF188A3E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0.5"/>
      <color rgb="FF00B050"/>
      <name val="Times New Roman"/>
      <family val="1"/>
      <charset val="186"/>
    </font>
    <font>
      <sz val="11"/>
      <color rgb="FF188A3E"/>
      <name val="Times New Roman"/>
      <family val="1"/>
    </font>
    <font>
      <sz val="11"/>
      <color rgb="FF00B050"/>
      <name val="Times New Roman"/>
      <family val="1"/>
    </font>
    <font>
      <sz val="11"/>
      <color rgb="FF00863D"/>
      <name val="Times New Roman"/>
      <family val="1"/>
    </font>
    <font>
      <sz val="10.5"/>
      <color rgb="FF00863D"/>
      <name val="Times New Roman"/>
      <family val="1"/>
      <charset val="186"/>
    </font>
    <font>
      <sz val="10"/>
      <color rgb="FF00863D"/>
      <name val="Times New Roman"/>
      <family val="1"/>
    </font>
    <font>
      <sz val="10"/>
      <color rgb="FF00863D"/>
      <name val="Times New Roman"/>
      <family val="1"/>
      <charset val="186"/>
    </font>
    <font>
      <sz val="11"/>
      <color rgb="FF00863D"/>
      <name val="Times New Roman"/>
      <family val="1"/>
      <charset val="186"/>
    </font>
    <font>
      <sz val="10.5"/>
      <color rgb="FF00863D"/>
      <name val="Times New Roman"/>
      <family val="1"/>
    </font>
    <font>
      <b/>
      <sz val="11"/>
      <color rgb="FF00863D"/>
      <name val="Times New Roman"/>
      <family val="1"/>
    </font>
    <font>
      <i/>
      <sz val="11"/>
      <color rgb="FF00863D"/>
      <name val="Times New Roman"/>
      <family val="1"/>
    </font>
    <font>
      <sz val="10"/>
      <color rgb="FF188A3E"/>
      <name val="Times New Roman"/>
      <family val="1"/>
    </font>
    <font>
      <b/>
      <sz val="11"/>
      <color rgb="FF188A3E"/>
      <name val="Times New Roman"/>
      <family val="1"/>
    </font>
    <font>
      <sz val="12"/>
      <color rgb="FF188A3E"/>
      <name val="Times New Roman"/>
      <family val="1"/>
    </font>
    <font>
      <i/>
      <sz val="10"/>
      <color rgb="FF188A3E"/>
      <name val="Times New Roman"/>
      <family val="1"/>
    </font>
    <font>
      <sz val="11"/>
      <color rgb="FF009900"/>
      <name val="Times New Roman"/>
      <family val="1"/>
      <charset val="186"/>
    </font>
    <font>
      <sz val="10"/>
      <color rgb="FF00863D"/>
      <name val="Arial"/>
      <family val="2"/>
      <charset val="186"/>
    </font>
    <font>
      <b/>
      <sz val="10.5"/>
      <color rgb="FF00863D"/>
      <name val="Times New Roman"/>
      <family val="1"/>
      <charset val="186"/>
    </font>
    <font>
      <sz val="10.5"/>
      <color rgb="FF00863D"/>
      <name val="Arial"/>
      <family val="2"/>
      <charset val="186"/>
    </font>
    <font>
      <i/>
      <sz val="10.5"/>
      <color rgb="FF00863D"/>
      <name val="Times New Roman"/>
      <family val="1"/>
      <charset val="186"/>
    </font>
    <font>
      <b/>
      <sz val="11"/>
      <color rgb="FF00863D"/>
      <name val="Times New Roman"/>
      <family val="1"/>
      <charset val="186"/>
    </font>
    <font>
      <sz val="14"/>
      <color rgb="FF00863D"/>
      <name val="Times New Roman"/>
      <family val="1"/>
    </font>
    <font>
      <sz val="11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0"/>
      <name val="Times New Roman"/>
      <family val="1"/>
      <charset val="186"/>
    </font>
    <font>
      <sz val="10.5"/>
      <color theme="0"/>
      <name val="Times New Roman"/>
      <family val="1"/>
      <charset val="186"/>
    </font>
    <font>
      <sz val="9"/>
      <color theme="0"/>
      <name val="Times New Roman"/>
      <family val="1"/>
      <charset val="186"/>
    </font>
    <font>
      <sz val="11"/>
      <color rgb="FF009900"/>
      <name val="Times New Roman"/>
      <family val="1"/>
    </font>
    <font>
      <b/>
      <sz val="11"/>
      <color rgb="FF009900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12"/>
      <color rgb="FF00863D"/>
      <name val="Times New Roman"/>
      <family val="1"/>
    </font>
    <font>
      <b/>
      <sz val="12"/>
      <name val="Times New Roman"/>
      <family val="1"/>
    </font>
    <font>
      <sz val="12"/>
      <color rgb="FF00863D"/>
      <name val="Times New Roman"/>
      <family val="1"/>
    </font>
    <font>
      <sz val="12"/>
      <color theme="0"/>
      <name val="Times New Roman"/>
      <family val="1"/>
    </font>
    <font>
      <b/>
      <i/>
      <sz val="12"/>
      <name val="Times New Roman"/>
      <family val="1"/>
    </font>
    <font>
      <b/>
      <sz val="10"/>
      <color rgb="FF00863D"/>
      <name val="Times New Roman"/>
      <family val="1"/>
      <charset val="186"/>
    </font>
    <font>
      <sz val="14"/>
      <color rgb="FFFF0000"/>
      <name val="Times New Roman"/>
      <family val="1"/>
    </font>
    <font>
      <sz val="12"/>
      <name val="Calibri"/>
      <family val="2"/>
      <charset val="186"/>
    </font>
    <font>
      <sz val="10"/>
      <color rgb="FF0070C0"/>
      <name val="Times New Roman"/>
      <family val="1"/>
      <charset val="186"/>
    </font>
    <font>
      <i/>
      <sz val="11"/>
      <color rgb="FF00863D"/>
      <name val="Times New Roman"/>
      <family val="1"/>
      <charset val="186"/>
    </font>
    <font>
      <i/>
      <sz val="11"/>
      <color rgb="FF009900"/>
      <name val="Times New Roman"/>
      <family val="1"/>
      <charset val="186"/>
    </font>
    <font>
      <i/>
      <sz val="11"/>
      <color rgb="FF0070C0"/>
      <name val="Times New Roman"/>
      <family val="1"/>
      <charset val="186"/>
    </font>
    <font>
      <sz val="10"/>
      <color rgb="FF0070C0"/>
      <name val="Arial"/>
      <family val="2"/>
      <charset val="186"/>
    </font>
    <font>
      <b/>
      <sz val="10"/>
      <color rgb="FF0070C0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sz val="11"/>
      <color rgb="FF0070C0"/>
      <name val="Arial"/>
      <family val="2"/>
      <charset val="186"/>
    </font>
    <font>
      <i/>
      <sz val="10"/>
      <color rgb="FF0070C0"/>
      <name val="Arial"/>
      <family val="2"/>
      <charset val="186"/>
    </font>
    <font>
      <sz val="10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rgb="FF0070C0"/>
      <name val="Times New Roman"/>
      <family val="1"/>
    </font>
    <font>
      <i/>
      <sz val="10"/>
      <color rgb="FF0070C0"/>
      <name val="Times New Roman"/>
      <family val="1"/>
    </font>
    <font>
      <sz val="9"/>
      <color rgb="FF0070C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6DDE8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4" tint="-0.249977111117893"/>
        <bgColor indexed="34"/>
      </patternFill>
    </fill>
    <fill>
      <patternFill patternType="solid">
        <fgColor rgb="FFF5C000"/>
        <bgColor indexed="64"/>
      </patternFill>
    </fill>
    <fill>
      <patternFill patternType="solid">
        <fgColor rgb="FFF5C000"/>
        <bgColor indexed="9"/>
      </patternFill>
    </fill>
    <fill>
      <patternFill patternType="solid">
        <fgColor theme="4" tint="-0.249977111117893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/>
    <xf numFmtId="0" fontId="1" fillId="0" borderId="0"/>
  </cellStyleXfs>
  <cellXfs count="1230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5" fillId="2" borderId="0" xfId="0" applyFont="1" applyFill="1"/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6" fontId="11" fillId="4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/>
    <xf numFmtId="0" fontId="11" fillId="0" borderId="1" xfId="4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49" fontId="11" fillId="0" borderId="1" xfId="0" applyNumberFormat="1" applyFont="1" applyBorder="1" applyAlignment="1">
      <alignment horizontal="left" vertical="top" wrapText="1"/>
    </xf>
    <xf numFmtId="0" fontId="11" fillId="4" borderId="1" xfId="4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4" borderId="0" xfId="0" applyFont="1" applyFill="1" applyAlignment="1">
      <alignment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0" applyFont="1"/>
    <xf numFmtId="49" fontId="1" fillId="4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4" applyFont="1" applyBorder="1" applyAlignment="1">
      <alignment vertical="top" wrapText="1"/>
    </xf>
    <xf numFmtId="49" fontId="11" fillId="0" borderId="0" xfId="0" applyNumberFormat="1" applyFont="1" applyAlignment="1">
      <alignment horizontal="left" vertical="top" wrapText="1"/>
    </xf>
    <xf numFmtId="0" fontId="11" fillId="4" borderId="1" xfId="4" applyFont="1" applyFill="1" applyBorder="1" applyAlignment="1">
      <alignment horizontal="center" vertical="top" wrapText="1"/>
    </xf>
    <xf numFmtId="0" fontId="11" fillId="4" borderId="2" xfId="4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left"/>
    </xf>
    <xf numFmtId="0" fontId="11" fillId="2" borderId="0" xfId="0" applyFont="1" applyFill="1"/>
    <xf numFmtId="49" fontId="11" fillId="4" borderId="2" xfId="0" applyNumberFormat="1" applyFont="1" applyFill="1" applyBorder="1" applyAlignment="1">
      <alignment horizontal="left" vertical="top" wrapText="1"/>
    </xf>
    <xf numFmtId="0" fontId="1" fillId="0" borderId="1" xfId="4" applyFont="1" applyBorder="1" applyAlignment="1">
      <alignment vertical="top" wrapText="1"/>
    </xf>
    <xf numFmtId="0" fontId="10" fillId="0" borderId="1" xfId="4" applyFont="1" applyBorder="1" applyAlignment="1">
      <alignment vertical="top" wrapText="1"/>
    </xf>
    <xf numFmtId="0" fontId="20" fillId="4" borderId="1" xfId="4" applyFont="1" applyFill="1" applyBorder="1" applyAlignment="1">
      <alignment vertical="top" wrapText="1"/>
    </xf>
    <xf numFmtId="0" fontId="19" fillId="0" borderId="1" xfId="4" applyFont="1" applyBorder="1" applyAlignment="1">
      <alignment vertical="top" wrapText="1"/>
    </xf>
    <xf numFmtId="0" fontId="13" fillId="0" borderId="1" xfId="4" applyFont="1" applyBorder="1" applyAlignment="1">
      <alignment vertical="top" wrapText="1"/>
    </xf>
    <xf numFmtId="0" fontId="20" fillId="0" borderId="1" xfId="4" applyFont="1" applyBorder="1" applyAlignment="1">
      <alignment vertical="top" wrapText="1"/>
    </xf>
    <xf numFmtId="166" fontId="20" fillId="4" borderId="1" xfId="4" applyNumberFormat="1" applyFont="1" applyFill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20" fillId="2" borderId="0" xfId="0" applyFont="1" applyFill="1"/>
    <xf numFmtId="0" fontId="15" fillId="0" borderId="0" xfId="0" applyFont="1" applyAlignment="1">
      <alignment vertical="top" wrapText="1"/>
    </xf>
    <xf numFmtId="0" fontId="20" fillId="4" borderId="1" xfId="4" applyFont="1" applyFill="1" applyBorder="1" applyAlignment="1">
      <alignment horizontal="left" vertical="top" wrapText="1"/>
    </xf>
    <xf numFmtId="0" fontId="24" fillId="2" borderId="0" xfId="0" applyFont="1" applyFill="1"/>
    <xf numFmtId="0" fontId="4" fillId="4" borderId="11" xfId="0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1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16" fillId="4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11" fillId="0" borderId="1" xfId="4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wrapText="1"/>
    </xf>
    <xf numFmtId="0" fontId="27" fillId="2" borderId="0" xfId="0" applyFont="1" applyFill="1"/>
    <xf numFmtId="0" fontId="6" fillId="0" borderId="1" xfId="4" applyFont="1" applyBorder="1" applyAlignment="1">
      <alignment vertical="top" wrapText="1"/>
    </xf>
    <xf numFmtId="166" fontId="10" fillId="4" borderId="1" xfId="4" applyNumberFormat="1" applyFont="1" applyFill="1" applyBorder="1" applyAlignment="1">
      <alignment vertical="top" wrapText="1"/>
    </xf>
    <xf numFmtId="0" fontId="6" fillId="4" borderId="1" xfId="4" applyFont="1" applyFill="1" applyBorder="1" applyAlignment="1">
      <alignment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0" fontId="11" fillId="0" borderId="2" xfId="4" applyFont="1" applyBorder="1" applyAlignment="1">
      <alignment horizontal="left" vertical="top" wrapText="1"/>
    </xf>
    <xf numFmtId="0" fontId="8" fillId="4" borderId="0" xfId="0" applyFont="1" applyFill="1" applyAlignment="1">
      <alignment wrapText="1"/>
    </xf>
    <xf numFmtId="0" fontId="18" fillId="4" borderId="2" xfId="4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166" fontId="11" fillId="4" borderId="8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166" fontId="11" fillId="4" borderId="0" xfId="4" applyNumberFormat="1" applyFont="1" applyFill="1" applyAlignment="1">
      <alignment horizontal="center" vertical="top" wrapText="1"/>
    </xf>
    <xf numFmtId="49" fontId="7" fillId="4" borderId="0" xfId="0" applyNumberFormat="1" applyFont="1" applyFill="1" applyAlignment="1">
      <alignment vertical="top" wrapText="1"/>
    </xf>
    <xf numFmtId="49" fontId="11" fillId="5" borderId="1" xfId="0" applyNumberFormat="1" applyFon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4" fillId="0" borderId="1" xfId="6" applyNumberFormat="1" applyFont="1" applyBorder="1" applyAlignment="1">
      <alignment horizontal="left" vertical="top" wrapText="1"/>
    </xf>
    <xf numFmtId="0" fontId="1" fillId="0" borderId="0" xfId="0" applyFont="1"/>
    <xf numFmtId="0" fontId="28" fillId="2" borderId="0" xfId="0" applyFont="1" applyFill="1"/>
    <xf numFmtId="0" fontId="30" fillId="2" borderId="0" xfId="0" applyFont="1" applyFill="1"/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1" fillId="4" borderId="0" xfId="0" applyFont="1" applyFill="1" applyAlignment="1">
      <alignment wrapText="1"/>
    </xf>
    <xf numFmtId="0" fontId="20" fillId="0" borderId="0" xfId="4" applyFont="1" applyAlignment="1">
      <alignment vertical="top" wrapText="1"/>
    </xf>
    <xf numFmtId="0" fontId="12" fillId="9" borderId="0" xfId="4" applyFont="1" applyFill="1" applyAlignment="1">
      <alignment vertical="top" wrapText="1"/>
    </xf>
    <xf numFmtId="0" fontId="19" fillId="4" borderId="0" xfId="4" applyFont="1" applyFill="1" applyAlignment="1">
      <alignment vertical="top" wrapText="1"/>
    </xf>
    <xf numFmtId="0" fontId="12" fillId="4" borderId="0" xfId="4" applyFont="1" applyFill="1" applyAlignment="1">
      <alignment vertical="top" wrapText="1"/>
    </xf>
    <xf numFmtId="0" fontId="28" fillId="0" borderId="0" xfId="0" applyFont="1" applyAlignment="1">
      <alignment vertical="top" wrapText="1"/>
    </xf>
    <xf numFmtId="0" fontId="31" fillId="0" borderId="3" xfId="4" applyFont="1" applyBorder="1" applyAlignment="1">
      <alignment vertical="top" wrapText="1"/>
    </xf>
    <xf numFmtId="0" fontId="28" fillId="0" borderId="0" xfId="0" applyFont="1" applyAlignment="1">
      <alignment wrapText="1"/>
    </xf>
    <xf numFmtId="0" fontId="1" fillId="4" borderId="0" xfId="0" applyFont="1" applyFill="1"/>
    <xf numFmtId="0" fontId="31" fillId="0" borderId="0" xfId="0" applyFont="1" applyAlignment="1">
      <alignment vertical="top" wrapText="1"/>
    </xf>
    <xf numFmtId="166" fontId="1" fillId="0" borderId="0" xfId="0" applyNumberFormat="1" applyFont="1" applyAlignment="1">
      <alignment vertical="top" wrapText="1"/>
    </xf>
    <xf numFmtId="0" fontId="35" fillId="2" borderId="0" xfId="0" applyFont="1" applyFill="1" applyAlignment="1">
      <alignment vertical="top" wrapText="1"/>
    </xf>
    <xf numFmtId="0" fontId="36" fillId="2" borderId="0" xfId="0" applyFont="1" applyFill="1"/>
    <xf numFmtId="49" fontId="4" fillId="0" borderId="3" xfId="6" applyNumberFormat="1" applyFont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1" xfId="6" applyNumberFormat="1" applyFill="1" applyBorder="1" applyAlignment="1">
      <alignment horizontal="left" vertical="top" wrapText="1"/>
    </xf>
    <xf numFmtId="49" fontId="1" fillId="7" borderId="1" xfId="0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 wrapText="1"/>
    </xf>
    <xf numFmtId="0" fontId="10" fillId="4" borderId="1" xfId="4" applyFont="1" applyFill="1" applyBorder="1" applyAlignment="1">
      <alignment horizontal="left" vertical="top" wrapText="1"/>
    </xf>
    <xf numFmtId="166" fontId="11" fillId="4" borderId="6" xfId="0" applyNumberFormat="1" applyFont="1" applyFill="1" applyBorder="1" applyAlignment="1">
      <alignment horizontal="center" vertical="top" wrapText="1"/>
    </xf>
    <xf numFmtId="166" fontId="11" fillId="4" borderId="14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4" fillId="0" borderId="1" xfId="4" applyFont="1" applyBorder="1" applyAlignment="1">
      <alignment horizontal="left" vertical="top" wrapText="1"/>
    </xf>
    <xf numFmtId="0" fontId="37" fillId="2" borderId="0" xfId="0" applyFont="1" applyFill="1"/>
    <xf numFmtId="0" fontId="10" fillId="2" borderId="0" xfId="0" applyFont="1" applyFill="1"/>
    <xf numFmtId="166" fontId="40" fillId="4" borderId="1" xfId="4" applyNumberFormat="1" applyFont="1" applyFill="1" applyBorder="1" applyAlignment="1">
      <alignment vertical="top" wrapText="1"/>
    </xf>
    <xf numFmtId="166" fontId="18" fillId="4" borderId="1" xfId="0" applyNumberFormat="1" applyFont="1" applyFill="1" applyBorder="1" applyAlignment="1">
      <alignment horizontal="center" vertical="top" wrapText="1"/>
    </xf>
    <xf numFmtId="49" fontId="18" fillId="4" borderId="1" xfId="0" applyNumberFormat="1" applyFont="1" applyFill="1" applyBorder="1" applyAlignment="1">
      <alignment horizontal="left" vertical="top" wrapText="1"/>
    </xf>
    <xf numFmtId="49" fontId="43" fillId="4" borderId="0" xfId="6" applyNumberFormat="1" applyFont="1" applyFill="1" applyAlignment="1">
      <alignment horizontal="left"/>
    </xf>
    <xf numFmtId="0" fontId="21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0" fillId="4" borderId="1" xfId="4" applyFont="1" applyFill="1" applyBorder="1" applyAlignment="1">
      <alignment vertical="top" wrapText="1"/>
    </xf>
    <xf numFmtId="166" fontId="20" fillId="4" borderId="1" xfId="0" applyNumberFormat="1" applyFont="1" applyFill="1" applyBorder="1" applyAlignment="1">
      <alignment horizontal="right" vertical="top" wrapText="1"/>
    </xf>
    <xf numFmtId="166" fontId="20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horizontal="right" vertical="top" wrapText="1"/>
    </xf>
    <xf numFmtId="166" fontId="42" fillId="4" borderId="1" xfId="0" applyNumberFormat="1" applyFont="1" applyFill="1" applyBorder="1" applyAlignment="1">
      <alignment vertical="top"/>
    </xf>
    <xf numFmtId="166" fontId="20" fillId="4" borderId="5" xfId="0" applyNumberFormat="1" applyFont="1" applyFill="1" applyBorder="1" applyAlignment="1">
      <alignment vertical="top" wrapText="1"/>
    </xf>
    <xf numFmtId="166" fontId="20" fillId="4" borderId="1" xfId="0" applyNumberFormat="1" applyFont="1" applyFill="1" applyBorder="1" applyAlignment="1">
      <alignment vertical="top"/>
    </xf>
    <xf numFmtId="166" fontId="19" fillId="4" borderId="1" xfId="4" applyNumberFormat="1" applyFont="1" applyFill="1" applyBorder="1" applyAlignment="1">
      <alignment vertical="top" wrapText="1"/>
    </xf>
    <xf numFmtId="0" fontId="20" fillId="0" borderId="0" xfId="0" applyFont="1"/>
    <xf numFmtId="166" fontId="10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 wrapText="1"/>
    </xf>
    <xf numFmtId="166" fontId="10" fillId="4" borderId="1" xfId="6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horizontal="right" vertical="top" wrapText="1"/>
    </xf>
    <xf numFmtId="0" fontId="39" fillId="0" borderId="0" xfId="0" applyFont="1" applyAlignment="1">
      <alignment horizontal="center" vertical="top"/>
    </xf>
    <xf numFmtId="166" fontId="20" fillId="4" borderId="2" xfId="4" applyNumberFormat="1" applyFont="1" applyFill="1" applyBorder="1" applyAlignment="1">
      <alignment vertical="top" wrapText="1"/>
    </xf>
    <xf numFmtId="166" fontId="42" fillId="4" borderId="1" xfId="4" applyNumberFormat="1" applyFont="1" applyFill="1" applyBorder="1" applyAlignment="1">
      <alignment vertical="top" wrapText="1"/>
    </xf>
    <xf numFmtId="166" fontId="20" fillId="4" borderId="8" xfId="0" applyNumberFormat="1" applyFont="1" applyFill="1" applyBorder="1" applyAlignment="1">
      <alignment vertical="top" wrapText="1"/>
    </xf>
    <xf numFmtId="166" fontId="42" fillId="4" borderId="8" xfId="0" applyNumberFormat="1" applyFont="1" applyFill="1" applyBorder="1" applyAlignment="1">
      <alignment vertical="top" wrapText="1"/>
    </xf>
    <xf numFmtId="166" fontId="40" fillId="0" borderId="0" xfId="0" applyNumberFormat="1" applyFont="1" applyAlignment="1">
      <alignment vertical="top" wrapText="1"/>
    </xf>
    <xf numFmtId="0" fontId="40" fillId="0" borderId="0" xfId="0" applyFont="1" applyAlignment="1">
      <alignment vertical="top" wrapText="1"/>
    </xf>
    <xf numFmtId="49" fontId="20" fillId="4" borderId="1" xfId="0" applyNumberFormat="1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center" vertical="top" wrapText="1"/>
    </xf>
    <xf numFmtId="49" fontId="10" fillId="4" borderId="1" xfId="6" applyNumberFormat="1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0" fontId="12" fillId="0" borderId="0" xfId="0" applyFont="1"/>
    <xf numFmtId="4" fontId="31" fillId="0" borderId="0" xfId="0" applyNumberFormat="1" applyFont="1" applyAlignment="1">
      <alignment vertical="top" wrapText="1"/>
    </xf>
    <xf numFmtId="49" fontId="46" fillId="4" borderId="0" xfId="0" applyNumberFormat="1" applyFont="1" applyFill="1" applyAlignment="1">
      <alignment vertical="top" wrapText="1"/>
    </xf>
    <xf numFmtId="49" fontId="47" fillId="4" borderId="0" xfId="0" applyNumberFormat="1" applyFont="1" applyFill="1" applyAlignment="1">
      <alignment vertical="top" wrapText="1"/>
    </xf>
    <xf numFmtId="166" fontId="10" fillId="4" borderId="1" xfId="1" applyNumberFormat="1" applyFont="1" applyFill="1" applyBorder="1" applyAlignment="1">
      <alignment horizontal="right" vertical="top" wrapText="1"/>
    </xf>
    <xf numFmtId="165" fontId="10" fillId="4" borderId="1" xfId="0" applyNumberFormat="1" applyFont="1" applyFill="1" applyBorder="1" applyAlignment="1">
      <alignment vertical="top" wrapText="1"/>
    </xf>
    <xf numFmtId="166" fontId="10" fillId="4" borderId="1" xfId="1" applyNumberFormat="1" applyFont="1" applyFill="1" applyBorder="1" applyAlignment="1">
      <alignment horizontal="right" vertical="top"/>
    </xf>
    <xf numFmtId="166" fontId="44" fillId="4" borderId="1" xfId="0" applyNumberFormat="1" applyFont="1" applyFill="1" applyBorder="1" applyAlignment="1">
      <alignment horizontal="right" vertical="top" wrapText="1"/>
    </xf>
    <xf numFmtId="166" fontId="10" fillId="4" borderId="1" xfId="0" applyNumberFormat="1" applyFont="1" applyFill="1" applyBorder="1" applyAlignment="1">
      <alignment horizontal="right" vertical="top"/>
    </xf>
    <xf numFmtId="166" fontId="10" fillId="4" borderId="1" xfId="7" applyNumberFormat="1" applyFont="1" applyFill="1" applyBorder="1" applyAlignment="1">
      <alignment horizontal="right" vertical="top" wrapText="1"/>
    </xf>
    <xf numFmtId="166" fontId="44" fillId="4" borderId="1" xfId="7" applyNumberFormat="1" applyFont="1" applyFill="1" applyBorder="1" applyAlignment="1">
      <alignment horizontal="right" vertical="top" wrapText="1"/>
    </xf>
    <xf numFmtId="166" fontId="10" fillId="4" borderId="4" xfId="1" applyNumberFormat="1" applyFont="1" applyFill="1" applyBorder="1" applyAlignment="1">
      <alignment horizontal="right" vertical="top" wrapText="1"/>
    </xf>
    <xf numFmtId="166" fontId="44" fillId="4" borderId="1" xfId="1" applyNumberFormat="1" applyFont="1" applyFill="1" applyBorder="1" applyAlignment="1">
      <alignment horizontal="right" vertical="top" wrapText="1"/>
    </xf>
    <xf numFmtId="166" fontId="44" fillId="4" borderId="1" xfId="6" applyNumberFormat="1" applyFont="1" applyFill="1" applyBorder="1" applyAlignment="1">
      <alignment vertical="top" wrapText="1"/>
    </xf>
    <xf numFmtId="166" fontId="48" fillId="4" borderId="1" xfId="4" applyNumberFormat="1" applyFont="1" applyFill="1" applyBorder="1" applyAlignment="1">
      <alignment vertical="top" wrapText="1"/>
    </xf>
    <xf numFmtId="166" fontId="45" fillId="4" borderId="1" xfId="4" applyNumberFormat="1" applyFont="1" applyFill="1" applyBorder="1" applyAlignment="1">
      <alignment vertical="top" wrapText="1"/>
    </xf>
    <xf numFmtId="4" fontId="48" fillId="4" borderId="1" xfId="4" applyNumberFormat="1" applyFont="1" applyFill="1" applyBorder="1" applyAlignment="1">
      <alignment vertical="top" wrapText="1"/>
    </xf>
    <xf numFmtId="0" fontId="48" fillId="0" borderId="0" xfId="0" applyFont="1" applyAlignment="1">
      <alignment vertical="top" wrapText="1"/>
    </xf>
    <xf numFmtId="165" fontId="48" fillId="0" borderId="0" xfId="0" applyNumberFormat="1" applyFont="1" applyAlignment="1">
      <alignment vertical="top" wrapText="1"/>
    </xf>
    <xf numFmtId="166" fontId="48" fillId="0" borderId="0" xfId="0" applyNumberFormat="1" applyFont="1" applyAlignment="1">
      <alignment vertical="top" wrapText="1"/>
    </xf>
    <xf numFmtId="4" fontId="48" fillId="0" borderId="0" xfId="0" applyNumberFormat="1" applyFont="1" applyAlignment="1">
      <alignment vertical="top" wrapText="1"/>
    </xf>
    <xf numFmtId="1" fontId="48" fillId="0" borderId="0" xfId="0" applyNumberFormat="1" applyFont="1" applyAlignment="1">
      <alignment vertical="top" wrapText="1"/>
    </xf>
    <xf numFmtId="49" fontId="10" fillId="4" borderId="1" xfId="0" applyNumberFormat="1" applyFont="1" applyFill="1" applyBorder="1" applyAlignment="1">
      <alignment vertical="top" wrapText="1"/>
    </xf>
    <xf numFmtId="0" fontId="10" fillId="4" borderId="4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165" fontId="10" fillId="4" borderId="3" xfId="0" applyNumberFormat="1" applyFont="1" applyFill="1" applyBorder="1" applyAlignment="1">
      <alignment horizontal="left" vertical="top" wrapText="1"/>
    </xf>
    <xf numFmtId="165" fontId="10" fillId="2" borderId="1" xfId="0" applyNumberFormat="1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top" wrapText="1"/>
    </xf>
    <xf numFmtId="0" fontId="45" fillId="0" borderId="1" xfId="4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49" fontId="20" fillId="4" borderId="2" xfId="0" applyNumberFormat="1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49" fontId="20" fillId="0" borderId="1" xfId="0" applyNumberFormat="1" applyFont="1" applyBorder="1" applyAlignment="1">
      <alignment vertical="top" wrapText="1"/>
    </xf>
    <xf numFmtId="49" fontId="42" fillId="4" borderId="1" xfId="0" applyNumberFormat="1" applyFont="1" applyFill="1" applyBorder="1" applyAlignment="1">
      <alignment vertical="top" wrapText="1"/>
    </xf>
    <xf numFmtId="49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50" fillId="4" borderId="0" xfId="6" applyNumberFormat="1" applyFont="1" applyFill="1" applyAlignment="1">
      <alignment horizontal="center"/>
    </xf>
    <xf numFmtId="0" fontId="50" fillId="4" borderId="0" xfId="6" applyFont="1" applyFill="1" applyAlignment="1">
      <alignment horizontal="left"/>
    </xf>
    <xf numFmtId="0" fontId="50" fillId="4" borderId="0" xfId="6" applyFont="1" applyFill="1" applyAlignment="1">
      <alignment horizontal="center"/>
    </xf>
    <xf numFmtId="49" fontId="50" fillId="4" borderId="0" xfId="6" applyNumberFormat="1" applyFont="1" applyFill="1" applyAlignment="1">
      <alignment horizontal="right"/>
    </xf>
    <xf numFmtId="166" fontId="20" fillId="4" borderId="2" xfId="0" applyNumberFormat="1" applyFont="1" applyFill="1" applyBorder="1" applyAlignment="1">
      <alignment horizontal="right" vertical="top"/>
    </xf>
    <xf numFmtId="49" fontId="20" fillId="0" borderId="4" xfId="6" applyNumberFormat="1" applyFont="1" applyBorder="1" applyAlignment="1">
      <alignment vertical="top" wrapText="1"/>
    </xf>
    <xf numFmtId="0" fontId="20" fillId="4" borderId="1" xfId="6" applyFont="1" applyFill="1" applyBorder="1" applyAlignment="1">
      <alignment horizontal="righ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horizontal="right" vertical="top"/>
    </xf>
    <xf numFmtId="49" fontId="20" fillId="0" borderId="6" xfId="6" applyNumberFormat="1" applyFont="1" applyBorder="1" applyAlignment="1">
      <alignment vertical="top" wrapText="1"/>
    </xf>
    <xf numFmtId="0" fontId="20" fillId="4" borderId="2" xfId="6" applyFont="1" applyFill="1" applyBorder="1" applyAlignment="1">
      <alignment horizontal="right" vertical="top" wrapText="1"/>
    </xf>
    <xf numFmtId="0" fontId="20" fillId="0" borderId="2" xfId="0" applyFont="1" applyBorder="1" applyAlignment="1">
      <alignment vertical="top" wrapText="1"/>
    </xf>
    <xf numFmtId="0" fontId="20" fillId="0" borderId="1" xfId="6" applyFont="1" applyBorder="1" applyAlignment="1">
      <alignment horizontal="left" vertical="top" wrapText="1"/>
    </xf>
    <xf numFmtId="0" fontId="20" fillId="4" borderId="2" xfId="0" applyFont="1" applyFill="1" applyBorder="1" applyAlignment="1">
      <alignment horizontal="right" vertical="top" wrapText="1"/>
    </xf>
    <xf numFmtId="0" fontId="20" fillId="0" borderId="5" xfId="6" applyFont="1" applyBorder="1" applyAlignment="1">
      <alignment horizontal="left" vertical="top" wrapText="1"/>
    </xf>
    <xf numFmtId="49" fontId="19" fillId="0" borderId="1" xfId="6" applyNumberFormat="1" applyFont="1" applyBorder="1" applyAlignment="1">
      <alignment horizontal="left" vertical="top" wrapText="1"/>
    </xf>
    <xf numFmtId="49" fontId="19" fillId="4" borderId="1" xfId="6" applyNumberFormat="1" applyFont="1" applyFill="1" applyBorder="1" applyAlignment="1">
      <alignment horizontal="right" vertical="top" wrapText="1"/>
    </xf>
    <xf numFmtId="3" fontId="19" fillId="4" borderId="4" xfId="6" applyNumberFormat="1" applyFont="1" applyFill="1" applyBorder="1" applyAlignment="1">
      <alignment horizontal="left" vertical="top" wrapText="1"/>
    </xf>
    <xf numFmtId="0" fontId="19" fillId="4" borderId="4" xfId="6" applyFont="1" applyFill="1" applyBorder="1" applyAlignment="1">
      <alignment horizontal="righ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49" fontId="20" fillId="0" borderId="1" xfId="6" applyNumberFormat="1" applyFont="1" applyBorder="1" applyAlignment="1">
      <alignment horizontal="left" vertical="top" wrapText="1"/>
    </xf>
    <xf numFmtId="166" fontId="20" fillId="4" borderId="1" xfId="6" applyNumberFormat="1" applyFont="1" applyFill="1" applyBorder="1" applyAlignment="1">
      <alignment horizontal="right" vertical="top" wrapText="1"/>
    </xf>
    <xf numFmtId="3" fontId="20" fillId="0" borderId="4" xfId="6" applyNumberFormat="1" applyFont="1" applyBorder="1" applyAlignment="1">
      <alignment horizontal="left" vertical="top" wrapText="1"/>
    </xf>
    <xf numFmtId="0" fontId="20" fillId="4" borderId="1" xfId="6" applyFont="1" applyFill="1" applyBorder="1" applyAlignment="1">
      <alignment vertical="top" wrapText="1"/>
    </xf>
    <xf numFmtId="166" fontId="20" fillId="4" borderId="1" xfId="6" applyNumberFormat="1" applyFont="1" applyFill="1" applyBorder="1" applyAlignment="1">
      <alignment vertical="top" wrapText="1"/>
    </xf>
    <xf numFmtId="0" fontId="20" fillId="4" borderId="1" xfId="6" applyFont="1" applyFill="1" applyBorder="1" applyAlignment="1">
      <alignment horizontal="left" vertical="top" wrapText="1"/>
    </xf>
    <xf numFmtId="166" fontId="20" fillId="4" borderId="2" xfId="6" applyNumberFormat="1" applyFont="1" applyFill="1" applyBorder="1" applyAlignment="1">
      <alignment vertical="top" wrapText="1"/>
    </xf>
    <xf numFmtId="166" fontId="20" fillId="4" borderId="0" xfId="6" applyNumberFormat="1" applyFont="1" applyFill="1" applyAlignment="1">
      <alignment horizontal="left" vertical="top" wrapText="1"/>
    </xf>
    <xf numFmtId="166" fontId="20" fillId="4" borderId="0" xfId="6" applyNumberFormat="1" applyFont="1" applyFill="1" applyAlignment="1">
      <alignment horizontal="right" vertical="top" wrapText="1"/>
    </xf>
    <xf numFmtId="0" fontId="12" fillId="9" borderId="0" xfId="4" applyFont="1" applyFill="1" applyAlignment="1">
      <alignment horizontal="right" vertical="top" wrapText="1"/>
    </xf>
    <xf numFmtId="0" fontId="20" fillId="4" borderId="0" xfId="4" applyFont="1" applyFill="1" applyAlignment="1">
      <alignment vertical="top" wrapText="1"/>
    </xf>
    <xf numFmtId="0" fontId="20" fillId="4" borderId="0" xfId="4" applyFont="1" applyFill="1" applyAlignment="1">
      <alignment horizontal="right" vertical="top" wrapText="1"/>
    </xf>
    <xf numFmtId="166" fontId="20" fillId="4" borderId="0" xfId="4" applyNumberFormat="1" applyFont="1" applyFill="1" applyAlignment="1">
      <alignment vertical="top" wrapText="1"/>
    </xf>
    <xf numFmtId="0" fontId="12" fillId="4" borderId="0" xfId="4" applyFont="1" applyFill="1" applyAlignment="1">
      <alignment horizontal="right" vertical="top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51" fillId="4" borderId="0" xfId="6" applyFont="1" applyFill="1" applyAlignment="1">
      <alignment horizontal="center" vertical="top"/>
    </xf>
    <xf numFmtId="166" fontId="13" fillId="4" borderId="2" xfId="0" applyNumberFormat="1" applyFont="1" applyFill="1" applyBorder="1" applyAlignment="1">
      <alignment horizontal="center" vertical="top" wrapText="1"/>
    </xf>
    <xf numFmtId="166" fontId="13" fillId="4" borderId="6" xfId="0" applyNumberFormat="1" applyFont="1" applyFill="1" applyBorder="1" applyAlignment="1">
      <alignment horizontal="center" vertical="top" wrapText="1"/>
    </xf>
    <xf numFmtId="166" fontId="13" fillId="4" borderId="4" xfId="0" applyNumberFormat="1" applyFont="1" applyFill="1" applyBorder="1" applyAlignment="1">
      <alignment horizontal="center" vertical="top" wrapText="1"/>
    </xf>
    <xf numFmtId="166" fontId="11" fillId="4" borderId="2" xfId="6" applyNumberFormat="1" applyFont="1" applyFill="1" applyBorder="1" applyAlignment="1">
      <alignment horizontal="center" vertical="top" wrapText="1"/>
    </xf>
    <xf numFmtId="166" fontId="11" fillId="4" borderId="0" xfId="6" applyNumberFormat="1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49" fontId="39" fillId="0" borderId="0" xfId="0" applyNumberFormat="1" applyFont="1" applyAlignment="1">
      <alignment horizontal="right" vertical="top"/>
    </xf>
    <xf numFmtId="49" fontId="20" fillId="4" borderId="2" xfId="0" applyNumberFormat="1" applyFont="1" applyFill="1" applyBorder="1" applyAlignment="1">
      <alignment horizontal="right" vertical="top" wrapText="1"/>
    </xf>
    <xf numFmtId="49" fontId="20" fillId="4" borderId="1" xfId="0" applyNumberFormat="1" applyFont="1" applyFill="1" applyBorder="1" applyAlignment="1">
      <alignment horizontal="right" vertical="top" wrapText="1"/>
    </xf>
    <xf numFmtId="0" fontId="20" fillId="4" borderId="1" xfId="0" applyFont="1" applyFill="1" applyBorder="1" applyAlignment="1">
      <alignment horizontal="right" vertical="top" wrapText="1"/>
    </xf>
    <xf numFmtId="0" fontId="20" fillId="4" borderId="1" xfId="4" applyFont="1" applyFill="1" applyBorder="1" applyAlignment="1">
      <alignment horizontal="right" vertical="top" wrapText="1"/>
    </xf>
    <xf numFmtId="49" fontId="20" fillId="4" borderId="1" xfId="4" applyNumberFormat="1" applyFont="1" applyFill="1" applyBorder="1" applyAlignment="1">
      <alignment horizontal="right" vertical="top" wrapText="1"/>
    </xf>
    <xf numFmtId="0" fontId="42" fillId="4" borderId="1" xfId="4" applyFont="1" applyFill="1" applyBorder="1" applyAlignment="1">
      <alignment horizontal="right" vertical="top" wrapText="1"/>
    </xf>
    <xf numFmtId="0" fontId="40" fillId="4" borderId="1" xfId="4" applyFont="1" applyFill="1" applyBorder="1" applyAlignment="1">
      <alignment horizontal="right" vertical="top" wrapText="1"/>
    </xf>
    <xf numFmtId="166" fontId="40" fillId="4" borderId="0" xfId="4" applyNumberFormat="1" applyFont="1" applyFill="1" applyAlignment="1">
      <alignment horizontal="right" vertical="top" wrapText="1"/>
    </xf>
    <xf numFmtId="0" fontId="39" fillId="9" borderId="0" xfId="4" applyFont="1" applyFill="1" applyAlignment="1">
      <alignment horizontal="right" vertical="top" wrapText="1"/>
    </xf>
    <xf numFmtId="0" fontId="41" fillId="4" borderId="0" xfId="4" applyFont="1" applyFill="1" applyAlignment="1">
      <alignment horizontal="right" vertical="top" wrapText="1"/>
    </xf>
    <xf numFmtId="0" fontId="39" fillId="4" borderId="0" xfId="4" applyFont="1" applyFill="1" applyAlignment="1">
      <alignment horizontal="right" vertical="top" wrapText="1"/>
    </xf>
    <xf numFmtId="0" fontId="40" fillId="0" borderId="0" xfId="4" applyFont="1" applyAlignment="1">
      <alignment horizontal="right" vertical="top" wrapText="1"/>
    </xf>
    <xf numFmtId="49" fontId="40" fillId="0" borderId="0" xfId="0" applyNumberFormat="1" applyFont="1" applyAlignment="1">
      <alignment horizontal="right" vertical="top" wrapText="1"/>
    </xf>
    <xf numFmtId="49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20" fillId="0" borderId="1" xfId="0" applyFont="1" applyBorder="1" applyAlignment="1">
      <alignment vertical="top" wrapText="1"/>
    </xf>
    <xf numFmtId="166" fontId="20" fillId="4" borderId="2" xfId="0" applyNumberFormat="1" applyFont="1" applyFill="1" applyBorder="1" applyAlignment="1">
      <alignment horizontal="center" vertical="top" wrapText="1"/>
    </xf>
    <xf numFmtId="166" fontId="20" fillId="4" borderId="1" xfId="0" applyNumberFormat="1" applyFont="1" applyFill="1" applyBorder="1" applyAlignment="1">
      <alignment horizontal="center" vertical="top" wrapText="1"/>
    </xf>
    <xf numFmtId="0" fontId="20" fillId="4" borderId="2" xfId="4" applyFont="1" applyFill="1" applyBorder="1" applyAlignment="1">
      <alignment vertical="top" wrapText="1"/>
    </xf>
    <xf numFmtId="166" fontId="20" fillId="0" borderId="2" xfId="4" applyNumberFormat="1" applyFont="1" applyBorder="1" applyAlignment="1">
      <alignment horizontal="center" vertical="top" wrapText="1"/>
    </xf>
    <xf numFmtId="166" fontId="20" fillId="0" borderId="1" xfId="4" applyNumberFormat="1" applyFont="1" applyBorder="1" applyAlignment="1">
      <alignment horizontal="center" vertical="top" wrapText="1"/>
    </xf>
    <xf numFmtId="166" fontId="20" fillId="4" borderId="2" xfId="4" applyNumberFormat="1" applyFont="1" applyFill="1" applyBorder="1" applyAlignment="1">
      <alignment horizontal="center" vertical="top" wrapText="1"/>
    </xf>
    <xf numFmtId="166" fontId="20" fillId="4" borderId="1" xfId="4" applyNumberFormat="1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horizontal="center" vertical="top" wrapText="1"/>
    </xf>
    <xf numFmtId="166" fontId="20" fillId="0" borderId="2" xfId="0" applyNumberFormat="1" applyFont="1" applyBorder="1" applyAlignment="1">
      <alignment horizontal="center" vertical="top" wrapText="1"/>
    </xf>
    <xf numFmtId="166" fontId="20" fillId="4" borderId="8" xfId="0" applyNumberFormat="1" applyFont="1" applyFill="1" applyBorder="1" applyAlignment="1">
      <alignment horizontal="center" vertical="top" wrapText="1"/>
    </xf>
    <xf numFmtId="166" fontId="20" fillId="4" borderId="0" xfId="4" applyNumberFormat="1" applyFont="1" applyFill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49" fontId="20" fillId="0" borderId="0" xfId="0" applyNumberFormat="1" applyFont="1" applyAlignment="1">
      <alignment vertical="top" wrapText="1"/>
    </xf>
    <xf numFmtId="49" fontId="2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42" fillId="4" borderId="1" xfId="0" applyFont="1" applyFill="1" applyBorder="1" applyAlignment="1">
      <alignment vertical="top" wrapText="1"/>
    </xf>
    <xf numFmtId="0" fontId="42" fillId="4" borderId="1" xfId="0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center" vertical="top" wrapText="1"/>
    </xf>
    <xf numFmtId="165" fontId="20" fillId="0" borderId="1" xfId="0" applyNumberFormat="1" applyFont="1" applyBorder="1" applyAlignment="1">
      <alignment vertical="top" wrapText="1"/>
    </xf>
    <xf numFmtId="49" fontId="40" fillId="4" borderId="1" xfId="0" applyNumberFormat="1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left" vertical="top" wrapText="1"/>
    </xf>
    <xf numFmtId="0" fontId="20" fillId="5" borderId="1" xfId="0" applyFont="1" applyFill="1" applyBorder="1" applyAlignment="1">
      <alignment horizontal="center" vertical="top" wrapText="1"/>
    </xf>
    <xf numFmtId="165" fontId="20" fillId="2" borderId="1" xfId="0" applyNumberFormat="1" applyFont="1" applyFill="1" applyBorder="1" applyAlignment="1">
      <alignment horizontal="left" vertical="top" wrapText="1"/>
    </xf>
    <xf numFmtId="165" fontId="20" fillId="4" borderId="1" xfId="0" applyNumberFormat="1" applyFont="1" applyFill="1" applyBorder="1" applyAlignment="1">
      <alignment horizontal="center" vertical="top" wrapText="1"/>
    </xf>
    <xf numFmtId="49" fontId="20" fillId="4" borderId="4" xfId="0" applyNumberFormat="1" applyFont="1" applyFill="1" applyBorder="1" applyAlignment="1">
      <alignment horizontal="center" vertical="top" wrapText="1"/>
    </xf>
    <xf numFmtId="49" fontId="40" fillId="4" borderId="4" xfId="0" applyNumberFormat="1" applyFont="1" applyFill="1" applyBorder="1" applyAlignment="1">
      <alignment horizontal="center" vertical="top" wrapText="1"/>
    </xf>
    <xf numFmtId="49" fontId="20" fillId="0" borderId="5" xfId="0" applyNumberFormat="1" applyFont="1" applyBorder="1" applyAlignment="1">
      <alignment horizontal="left" vertical="top" wrapText="1"/>
    </xf>
    <xf numFmtId="49" fontId="20" fillId="4" borderId="5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/>
    </xf>
    <xf numFmtId="0" fontId="10" fillId="4" borderId="0" xfId="0" applyFont="1" applyFill="1" applyAlignment="1">
      <alignment horizontal="left"/>
    </xf>
    <xf numFmtId="0" fontId="48" fillId="4" borderId="0" xfId="0" applyFont="1" applyFill="1" applyAlignment="1">
      <alignment horizontal="right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top"/>
    </xf>
    <xf numFmtId="0" fontId="48" fillId="4" borderId="0" xfId="0" applyFont="1" applyFill="1" applyAlignment="1">
      <alignment horizontal="right" vertical="top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right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11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right" vertical="top" wrapText="1"/>
    </xf>
    <xf numFmtId="166" fontId="10" fillId="4" borderId="1" xfId="0" applyNumberFormat="1" applyFont="1" applyFill="1" applyBorder="1" applyAlignment="1">
      <alignment horizontal="center" vertical="top" wrapText="1"/>
    </xf>
    <xf numFmtId="0" fontId="44" fillId="4" borderId="1" xfId="0" applyFont="1" applyFill="1" applyBorder="1" applyAlignment="1">
      <alignment horizontal="right" vertical="top" wrapText="1"/>
    </xf>
    <xf numFmtId="49" fontId="44" fillId="4" borderId="1" xfId="0" applyNumberFormat="1" applyFont="1" applyFill="1" applyBorder="1" applyAlignment="1">
      <alignment horizontal="right" vertical="top" wrapText="1"/>
    </xf>
    <xf numFmtId="49" fontId="10" fillId="4" borderId="2" xfId="0" applyNumberFormat="1" applyFont="1" applyFill="1" applyBorder="1" applyAlignment="1">
      <alignment horizontal="right" vertical="top" wrapText="1"/>
    </xf>
    <xf numFmtId="49" fontId="10" fillId="4" borderId="1" xfId="0" applyNumberFormat="1" applyFont="1" applyFill="1" applyBorder="1" applyAlignment="1">
      <alignment horizontal="right" vertical="top" wrapText="1"/>
    </xf>
    <xf numFmtId="49" fontId="10" fillId="4" borderId="4" xfId="0" applyNumberFormat="1" applyFont="1" applyFill="1" applyBorder="1" applyAlignment="1">
      <alignment horizontal="right" vertical="top" wrapText="1"/>
    </xf>
    <xf numFmtId="49" fontId="10" fillId="4" borderId="6" xfId="0" applyNumberFormat="1" applyFont="1" applyFill="1" applyBorder="1" applyAlignment="1">
      <alignment horizontal="right" vertical="top" wrapText="1"/>
    </xf>
    <xf numFmtId="0" fontId="4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166" fontId="44" fillId="4" borderId="1" xfId="0" applyNumberFormat="1" applyFont="1" applyFill="1" applyBorder="1" applyAlignment="1">
      <alignment horizontal="center" vertical="top" wrapText="1"/>
    </xf>
    <xf numFmtId="166" fontId="10" fillId="4" borderId="1" xfId="1" applyNumberFormat="1" applyFont="1" applyFill="1" applyBorder="1" applyAlignment="1">
      <alignment vertical="top" wrapText="1"/>
    </xf>
    <xf numFmtId="0" fontId="10" fillId="4" borderId="1" xfId="11" applyFont="1" applyFill="1" applyBorder="1" applyAlignment="1">
      <alignment horizontal="left" vertical="top" wrapText="1"/>
    </xf>
    <xf numFmtId="0" fontId="10" fillId="4" borderId="1" xfId="11" applyFont="1" applyFill="1" applyBorder="1" applyAlignment="1">
      <alignment horizontal="right" vertical="top" wrapText="1"/>
    </xf>
    <xf numFmtId="0" fontId="10" fillId="0" borderId="1" xfId="1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44" fillId="4" borderId="1" xfId="11" applyNumberFormat="1" applyFont="1" applyFill="1" applyBorder="1" applyAlignment="1">
      <alignment horizontal="right" vertical="top" wrapText="1"/>
    </xf>
    <xf numFmtId="0" fontId="10" fillId="12" borderId="1" xfId="0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center" vertical="top"/>
    </xf>
    <xf numFmtId="166" fontId="44" fillId="4" borderId="1" xfId="1" applyNumberFormat="1" applyFont="1" applyFill="1" applyBorder="1" applyAlignment="1">
      <alignment vertical="top" wrapText="1"/>
    </xf>
    <xf numFmtId="0" fontId="10" fillId="4" borderId="1" xfId="1" applyFont="1" applyFill="1" applyBorder="1" applyAlignment="1">
      <alignment horizontal="right" vertical="top" wrapText="1"/>
    </xf>
    <xf numFmtId="49" fontId="44" fillId="10" borderId="1" xfId="0" applyNumberFormat="1" applyFont="1" applyFill="1" applyBorder="1" applyAlignment="1">
      <alignment horizontal="right" vertical="top"/>
    </xf>
    <xf numFmtId="49" fontId="10" fillId="10" borderId="1" xfId="0" applyNumberFormat="1" applyFont="1" applyFill="1" applyBorder="1" applyAlignment="1">
      <alignment horizontal="right" vertical="top" wrapText="1"/>
    </xf>
    <xf numFmtId="49" fontId="10" fillId="10" borderId="1" xfId="0" applyNumberFormat="1" applyFont="1" applyFill="1" applyBorder="1" applyAlignment="1">
      <alignment horizontal="right" vertical="top"/>
    </xf>
    <xf numFmtId="0" fontId="10" fillId="11" borderId="1" xfId="0" applyFont="1" applyFill="1" applyBorder="1" applyAlignment="1">
      <alignment horizontal="left" vertical="top" wrapText="1"/>
    </xf>
    <xf numFmtId="3" fontId="10" fillId="11" borderId="1" xfId="0" applyNumberFormat="1" applyFont="1" applyFill="1" applyBorder="1" applyAlignment="1">
      <alignment horizontal="right" vertical="top" wrapText="1"/>
    </xf>
    <xf numFmtId="49" fontId="44" fillId="4" borderId="1" xfId="0" applyNumberFormat="1" applyFont="1" applyFill="1" applyBorder="1" applyAlignment="1">
      <alignment vertical="top" wrapText="1"/>
    </xf>
    <xf numFmtId="3" fontId="10" fillId="10" borderId="1" xfId="0" applyNumberFormat="1" applyFont="1" applyFill="1" applyBorder="1" applyAlignment="1">
      <alignment horizontal="right" vertical="top" wrapText="1"/>
    </xf>
    <xf numFmtId="49" fontId="48" fillId="4" borderId="1" xfId="0" applyNumberFormat="1" applyFont="1" applyFill="1" applyBorder="1" applyAlignment="1">
      <alignment horizontal="right"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166" fontId="10" fillId="0" borderId="4" xfId="0" applyNumberFormat="1" applyFont="1" applyBorder="1" applyAlignment="1">
      <alignment horizontal="right" vertical="top" wrapText="1"/>
    </xf>
    <xf numFmtId="166" fontId="48" fillId="8" borderId="0" xfId="0" applyNumberFormat="1" applyFont="1" applyFill="1" applyAlignment="1">
      <alignment horizontal="center" vertical="top" wrapText="1"/>
    </xf>
    <xf numFmtId="166" fontId="48" fillId="8" borderId="0" xfId="0" applyNumberFormat="1" applyFont="1" applyFill="1" applyAlignment="1">
      <alignment horizontal="left" vertical="top" wrapText="1"/>
    </xf>
    <xf numFmtId="166" fontId="48" fillId="8" borderId="0" xfId="0" applyNumberFormat="1" applyFont="1" applyFill="1" applyAlignment="1">
      <alignment horizontal="right" vertical="top" wrapText="1"/>
    </xf>
    <xf numFmtId="166" fontId="45" fillId="4" borderId="0" xfId="4" applyNumberFormat="1" applyFont="1" applyFill="1" applyAlignment="1">
      <alignment horizontal="left" vertical="top" wrapText="1"/>
    </xf>
    <xf numFmtId="166" fontId="49" fillId="4" borderId="0" xfId="4" applyNumberFormat="1" applyFont="1" applyFill="1" applyAlignment="1">
      <alignment horizontal="right" vertical="top" wrapText="1"/>
    </xf>
    <xf numFmtId="4" fontId="10" fillId="4" borderId="1" xfId="4" applyNumberFormat="1" applyFont="1" applyFill="1" applyBorder="1" applyAlignment="1">
      <alignment vertical="top" wrapText="1"/>
    </xf>
    <xf numFmtId="4" fontId="10" fillId="4" borderId="0" xfId="4" applyNumberFormat="1" applyFont="1" applyFill="1" applyAlignment="1">
      <alignment horizontal="left" vertical="top" wrapText="1"/>
    </xf>
    <xf numFmtId="4" fontId="48" fillId="4" borderId="0" xfId="4" applyNumberFormat="1" applyFont="1" applyFill="1" applyAlignment="1">
      <alignment horizontal="right" vertical="top" wrapText="1"/>
    </xf>
    <xf numFmtId="166" fontId="48" fillId="4" borderId="0" xfId="0" applyNumberFormat="1" applyFont="1" applyFill="1" applyAlignment="1">
      <alignment horizontal="right"/>
    </xf>
    <xf numFmtId="166" fontId="52" fillId="4" borderId="0" xfId="0" applyNumberFormat="1" applyFont="1" applyFill="1" applyAlignment="1">
      <alignment horizontal="center"/>
    </xf>
    <xf numFmtId="166" fontId="52" fillId="4" borderId="0" xfId="0" applyNumberFormat="1" applyFont="1" applyFill="1" applyAlignment="1">
      <alignment horizontal="left" vertical="top"/>
    </xf>
    <xf numFmtId="166" fontId="48" fillId="4" borderId="0" xfId="0" applyNumberFormat="1" applyFont="1" applyFill="1" applyAlignment="1">
      <alignment horizontal="right" vertical="top"/>
    </xf>
    <xf numFmtId="165" fontId="10" fillId="0" borderId="1" xfId="0" applyNumberFormat="1" applyFont="1" applyBorder="1" applyAlignment="1">
      <alignment horizontal="left" vertical="top" wrapText="1"/>
    </xf>
    <xf numFmtId="49" fontId="10" fillId="0" borderId="1" xfId="6" applyNumberFormat="1" applyFont="1" applyBorder="1" applyAlignment="1">
      <alignment horizontal="left" vertical="top" wrapText="1"/>
    </xf>
    <xf numFmtId="0" fontId="10" fillId="0" borderId="1" xfId="6" applyFont="1" applyBorder="1" applyAlignment="1">
      <alignment horizontal="left" vertical="top" wrapText="1"/>
    </xf>
    <xf numFmtId="49" fontId="53" fillId="4" borderId="0" xfId="0" applyNumberFormat="1" applyFont="1" applyFill="1" applyAlignment="1">
      <alignment vertical="top" wrapText="1"/>
    </xf>
    <xf numFmtId="49" fontId="55" fillId="4" borderId="1" xfId="0" applyNumberFormat="1" applyFont="1" applyFill="1" applyBorder="1" applyAlignment="1">
      <alignment vertical="top" wrapText="1"/>
    </xf>
    <xf numFmtId="0" fontId="55" fillId="4" borderId="1" xfId="0" applyFont="1" applyFill="1" applyBorder="1" applyAlignment="1">
      <alignment vertical="top" wrapText="1"/>
    </xf>
    <xf numFmtId="4" fontId="55" fillId="4" borderId="4" xfId="0" applyNumberFormat="1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0" fontId="55" fillId="0" borderId="1" xfId="11" applyFont="1" applyBorder="1" applyAlignment="1">
      <alignment vertical="top" wrapText="1"/>
    </xf>
    <xf numFmtId="0" fontId="55" fillId="0" borderId="1" xfId="0" applyFont="1" applyBorder="1" applyAlignment="1">
      <alignment vertical="top" wrapText="1"/>
    </xf>
    <xf numFmtId="165" fontId="55" fillId="2" borderId="1" xfId="0" applyNumberFormat="1" applyFont="1" applyFill="1" applyBorder="1" applyAlignment="1">
      <alignment horizontal="left"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165" fontId="57" fillId="4" borderId="1" xfId="0" applyNumberFormat="1" applyFont="1" applyFill="1" applyBorder="1" applyAlignment="1">
      <alignment vertical="top" wrapText="1"/>
    </xf>
    <xf numFmtId="0" fontId="55" fillId="4" borderId="1" xfId="6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1" fontId="55" fillId="4" borderId="1" xfId="0" applyNumberFormat="1" applyFont="1" applyFill="1" applyBorder="1" applyAlignment="1">
      <alignment horizontal="left" vertical="top" wrapText="1"/>
    </xf>
    <xf numFmtId="165" fontId="55" fillId="0" borderId="1" xfId="0" applyNumberFormat="1" applyFont="1" applyBorder="1" applyAlignment="1">
      <alignment horizontal="left" vertical="top" wrapText="1"/>
    </xf>
    <xf numFmtId="0" fontId="55" fillId="0" borderId="1" xfId="6" applyFont="1" applyBorder="1" applyAlignment="1">
      <alignment horizontal="left" vertical="top" wrapText="1"/>
    </xf>
    <xf numFmtId="0" fontId="57" fillId="4" borderId="2" xfId="6" applyFont="1" applyFill="1" applyBorder="1" applyAlignment="1">
      <alignment horizontal="left" vertical="top" wrapText="1"/>
    </xf>
    <xf numFmtId="0" fontId="57" fillId="0" borderId="1" xfId="6" applyFont="1" applyBorder="1" applyAlignment="1">
      <alignment horizontal="left" vertical="top" wrapText="1"/>
    </xf>
    <xf numFmtId="166" fontId="55" fillId="5" borderId="0" xfId="0" applyNumberFormat="1" applyFont="1" applyFill="1" applyAlignment="1">
      <alignment horizontal="center" vertical="top" wrapText="1"/>
    </xf>
    <xf numFmtId="0" fontId="54" fillId="9" borderId="0" xfId="4" applyFont="1" applyFill="1" applyAlignment="1">
      <alignment vertical="top" wrapText="1"/>
    </xf>
    <xf numFmtId="0" fontId="59" fillId="4" borderId="0" xfId="4" applyFont="1" applyFill="1" applyAlignment="1">
      <alignment vertical="top" wrapText="1"/>
    </xf>
    <xf numFmtId="166" fontId="59" fillId="4" borderId="0" xfId="4" applyNumberFormat="1" applyFont="1" applyFill="1" applyAlignment="1">
      <alignment horizontal="left" vertical="top" wrapText="1"/>
    </xf>
    <xf numFmtId="0" fontId="54" fillId="4" borderId="0" xfId="4" applyFont="1" applyFill="1" applyAlignment="1">
      <alignment vertical="top" wrapText="1"/>
    </xf>
    <xf numFmtId="0" fontId="55" fillId="4" borderId="0" xfId="4" applyFont="1" applyFill="1" applyAlignment="1">
      <alignment vertical="top" wrapText="1"/>
    </xf>
    <xf numFmtId="0" fontId="55" fillId="0" borderId="0" xfId="0" applyFont="1" applyAlignment="1">
      <alignment vertical="top" wrapText="1"/>
    </xf>
    <xf numFmtId="0" fontId="56" fillId="0" borderId="0" xfId="0" applyFont="1" applyAlignment="1">
      <alignment vertical="top" wrapText="1"/>
    </xf>
    <xf numFmtId="0" fontId="60" fillId="2" borderId="0" xfId="0" applyFont="1" applyFill="1" applyAlignment="1">
      <alignment vertical="top" wrapText="1"/>
    </xf>
    <xf numFmtId="49" fontId="61" fillId="4" borderId="0" xfId="0" applyNumberFormat="1" applyFont="1" applyFill="1" applyAlignment="1">
      <alignment horizontal="right" vertical="top" wrapText="1"/>
    </xf>
    <xf numFmtId="0" fontId="55" fillId="4" borderId="1" xfId="11" applyFont="1" applyFill="1" applyBorder="1" applyAlignment="1">
      <alignment horizontal="right" vertical="top" wrapText="1"/>
    </xf>
    <xf numFmtId="49" fontId="57" fillId="4" borderId="1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right" vertical="top" wrapText="1"/>
    </xf>
    <xf numFmtId="49" fontId="56" fillId="4" borderId="1" xfId="0" applyNumberFormat="1" applyFont="1" applyFill="1" applyBorder="1" applyAlignment="1">
      <alignment horizontal="right" vertical="top" wrapText="1"/>
    </xf>
    <xf numFmtId="49" fontId="57" fillId="4" borderId="1" xfId="6" applyNumberFormat="1" applyFont="1" applyFill="1" applyBorder="1" applyAlignment="1">
      <alignment horizontal="right" vertical="top" wrapText="1"/>
    </xf>
    <xf numFmtId="49" fontId="56" fillId="5" borderId="0" xfId="0" applyNumberFormat="1" applyFont="1" applyFill="1" applyAlignment="1">
      <alignment horizontal="right" vertical="top" wrapText="1"/>
    </xf>
    <xf numFmtId="49" fontId="61" fillId="9" borderId="0" xfId="4" applyNumberFormat="1" applyFont="1" applyFill="1" applyAlignment="1">
      <alignment horizontal="right" vertical="top" wrapText="1"/>
    </xf>
    <xf numFmtId="49" fontId="63" fillId="4" borderId="0" xfId="4" applyNumberFormat="1" applyFont="1" applyFill="1" applyAlignment="1">
      <alignment horizontal="right" vertical="top" wrapText="1"/>
    </xf>
    <xf numFmtId="49" fontId="61" fillId="4" borderId="0" xfId="4" applyNumberFormat="1" applyFont="1" applyFill="1" applyAlignment="1">
      <alignment horizontal="right" vertical="top" wrapText="1"/>
    </xf>
    <xf numFmtId="49" fontId="56" fillId="4" borderId="0" xfId="4" applyNumberFormat="1" applyFont="1" applyFill="1" applyAlignment="1">
      <alignment horizontal="right" vertical="top" wrapText="1"/>
    </xf>
    <xf numFmtId="49" fontId="56" fillId="0" borderId="0" xfId="0" applyNumberFormat="1" applyFont="1" applyAlignment="1">
      <alignment horizontal="right" vertical="top" wrapText="1"/>
    </xf>
    <xf numFmtId="49" fontId="46" fillId="4" borderId="0" xfId="0" applyNumberFormat="1" applyFont="1" applyFill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166" fontId="10" fillId="0" borderId="1" xfId="0" applyNumberFormat="1" applyFont="1" applyBorder="1" applyAlignment="1">
      <alignment horizontal="right" vertical="top" wrapText="1"/>
    </xf>
    <xf numFmtId="166" fontId="10" fillId="4" borderId="1" xfId="6" applyNumberFormat="1" applyFont="1" applyFill="1" applyBorder="1" applyAlignment="1">
      <alignment horizontal="right" vertical="top" wrapText="1"/>
    </xf>
    <xf numFmtId="166" fontId="25" fillId="4" borderId="1" xfId="0" applyNumberFormat="1" applyFont="1" applyFill="1" applyBorder="1" applyAlignment="1">
      <alignment vertical="top" wrapText="1"/>
    </xf>
    <xf numFmtId="0" fontId="59" fillId="0" borderId="1" xfId="4" applyFont="1" applyBorder="1" applyAlignment="1">
      <alignment vertical="top" wrapText="1"/>
    </xf>
    <xf numFmtId="0" fontId="59" fillId="4" borderId="1" xfId="4" applyFont="1" applyFill="1" applyBorder="1" applyAlignment="1">
      <alignment vertical="top" wrapText="1"/>
    </xf>
    <xf numFmtId="0" fontId="55" fillId="0" borderId="1" xfId="4" applyFont="1" applyBorder="1" applyAlignment="1">
      <alignment vertical="top" wrapText="1"/>
    </xf>
    <xf numFmtId="0" fontId="65" fillId="0" borderId="1" xfId="4" applyFont="1" applyBorder="1" applyAlignment="1">
      <alignment vertical="top" wrapText="1"/>
    </xf>
    <xf numFmtId="0" fontId="65" fillId="4" borderId="1" xfId="4" applyFont="1" applyFill="1" applyBorder="1" applyAlignment="1">
      <alignment vertical="top" wrapText="1"/>
    </xf>
    <xf numFmtId="0" fontId="66" fillId="0" borderId="1" xfId="4" applyFont="1" applyBorder="1" applyAlignment="1">
      <alignment vertical="top" wrapText="1"/>
    </xf>
    <xf numFmtId="0" fontId="66" fillId="4" borderId="1" xfId="4" applyFont="1" applyFill="1" applyBorder="1" applyAlignment="1">
      <alignment vertical="top" wrapText="1"/>
    </xf>
    <xf numFmtId="166" fontId="67" fillId="13" borderId="1" xfId="0" applyNumberFormat="1" applyFont="1" applyFill="1" applyBorder="1" applyAlignment="1">
      <alignment vertical="top" wrapText="1"/>
    </xf>
    <xf numFmtId="49" fontId="67" fillId="13" borderId="1" xfId="0" applyNumberFormat="1" applyFont="1" applyFill="1" applyBorder="1" applyAlignment="1">
      <alignment vertical="top" wrapText="1"/>
    </xf>
    <xf numFmtId="49" fontId="68" fillId="13" borderId="1" xfId="0" applyNumberFormat="1" applyFont="1" applyFill="1" applyBorder="1" applyAlignment="1">
      <alignment vertical="top" wrapText="1"/>
    </xf>
    <xf numFmtId="49" fontId="68" fillId="13" borderId="1" xfId="0" applyNumberFormat="1" applyFont="1" applyFill="1" applyBorder="1" applyAlignment="1">
      <alignment horizontal="left" vertical="top" wrapText="1"/>
    </xf>
    <xf numFmtId="0" fontId="69" fillId="4" borderId="0" xfId="0" applyFont="1" applyFill="1" applyAlignment="1">
      <alignment horizontal="center"/>
    </xf>
    <xf numFmtId="0" fontId="71" fillId="13" borderId="1" xfId="4" applyFont="1" applyFill="1" applyBorder="1" applyAlignment="1">
      <alignment vertical="top" wrapText="1"/>
    </xf>
    <xf numFmtId="0" fontId="73" fillId="4" borderId="0" xfId="0" applyFont="1" applyFill="1" applyAlignment="1">
      <alignment horizontal="center"/>
    </xf>
    <xf numFmtId="0" fontId="74" fillId="4" borderId="0" xfId="0" applyFont="1" applyFill="1" applyAlignment="1">
      <alignment horizontal="left"/>
    </xf>
    <xf numFmtId="0" fontId="75" fillId="4" borderId="0" xfId="0" applyFont="1" applyFill="1"/>
    <xf numFmtId="0" fontId="75" fillId="4" borderId="0" xfId="0" applyFont="1" applyFill="1" applyAlignment="1">
      <alignment horizontal="left"/>
    </xf>
    <xf numFmtId="0" fontId="75" fillId="4" borderId="0" xfId="0" applyFont="1" applyFill="1" applyAlignment="1">
      <alignment horizontal="right"/>
    </xf>
    <xf numFmtId="0" fontId="75" fillId="4" borderId="0" xfId="0" applyFont="1" applyFill="1" applyAlignment="1">
      <alignment horizontal="center"/>
    </xf>
    <xf numFmtId="0" fontId="75" fillId="4" borderId="0" xfId="0" applyFont="1" applyFill="1" applyAlignment="1">
      <alignment horizontal="left" vertical="top"/>
    </xf>
    <xf numFmtId="0" fontId="75" fillId="4" borderId="0" xfId="0" applyFont="1" applyFill="1" applyAlignment="1">
      <alignment horizontal="right" vertical="top"/>
    </xf>
    <xf numFmtId="49" fontId="72" fillId="13" borderId="1" xfId="0" applyNumberFormat="1" applyFont="1" applyFill="1" applyBorder="1" applyAlignment="1">
      <alignment horizontal="right" vertical="top" wrapText="1"/>
    </xf>
    <xf numFmtId="0" fontId="67" fillId="13" borderId="1" xfId="4" applyFont="1" applyFill="1" applyBorder="1" applyAlignment="1">
      <alignment vertical="top" wrapText="1"/>
    </xf>
    <xf numFmtId="166" fontId="67" fillId="13" borderId="1" xfId="4" applyNumberFormat="1" applyFont="1" applyFill="1" applyBorder="1" applyAlignment="1">
      <alignment vertical="top" wrapText="1"/>
    </xf>
    <xf numFmtId="49" fontId="76" fillId="13" borderId="1" xfId="0" applyNumberFormat="1" applyFont="1" applyFill="1" applyBorder="1" applyAlignment="1">
      <alignment vertical="top" wrapText="1"/>
    </xf>
    <xf numFmtId="0" fontId="76" fillId="13" borderId="1" xfId="0" applyFont="1" applyFill="1" applyBorder="1" applyAlignment="1">
      <alignment vertical="top" wrapText="1"/>
    </xf>
    <xf numFmtId="166" fontId="76" fillId="13" borderId="1" xfId="0" applyNumberFormat="1" applyFont="1" applyFill="1" applyBorder="1" applyAlignment="1">
      <alignment vertical="top" wrapText="1"/>
    </xf>
    <xf numFmtId="166" fontId="76" fillId="13" borderId="1" xfId="0" applyNumberFormat="1" applyFont="1" applyFill="1" applyBorder="1" applyAlignment="1">
      <alignment horizontal="center" vertical="top" wrapText="1"/>
    </xf>
    <xf numFmtId="0" fontId="76" fillId="13" borderId="1" xfId="0" applyFont="1" applyFill="1" applyBorder="1" applyAlignment="1">
      <alignment horizontal="left" vertical="top" wrapText="1"/>
    </xf>
    <xf numFmtId="0" fontId="76" fillId="13" borderId="1" xfId="0" applyFont="1" applyFill="1" applyBorder="1" applyAlignment="1">
      <alignment horizontal="right" vertical="top" wrapText="1"/>
    </xf>
    <xf numFmtId="49" fontId="76" fillId="13" borderId="1" xfId="0" applyNumberFormat="1" applyFont="1" applyFill="1" applyBorder="1" applyAlignment="1">
      <alignment horizontal="left" vertical="top" wrapText="1"/>
    </xf>
    <xf numFmtId="3" fontId="76" fillId="14" borderId="1" xfId="0" applyNumberFormat="1" applyFont="1" applyFill="1" applyBorder="1" applyAlignment="1">
      <alignment horizontal="right" vertical="top" wrapText="1"/>
    </xf>
    <xf numFmtId="0" fontId="77" fillId="13" borderId="1" xfId="0" applyFont="1" applyFill="1" applyBorder="1" applyAlignment="1">
      <alignment vertical="top" wrapText="1"/>
    </xf>
    <xf numFmtId="49" fontId="76" fillId="13" borderId="1" xfId="0" applyNumberFormat="1" applyFont="1" applyFill="1" applyBorder="1" applyAlignment="1">
      <alignment horizontal="right" vertical="top" wrapText="1"/>
    </xf>
    <xf numFmtId="166" fontId="78" fillId="15" borderId="1" xfId="0" applyNumberFormat="1" applyFont="1" applyFill="1" applyBorder="1" applyAlignment="1">
      <alignment horizontal="center" vertical="top" wrapText="1"/>
    </xf>
    <xf numFmtId="166" fontId="78" fillId="15" borderId="1" xfId="0" applyNumberFormat="1" applyFont="1" applyFill="1" applyBorder="1" applyAlignment="1">
      <alignment horizontal="left" vertical="top" wrapText="1"/>
    </xf>
    <xf numFmtId="166" fontId="78" fillId="15" borderId="1" xfId="0" applyNumberFormat="1" applyFont="1" applyFill="1" applyBorder="1" applyAlignment="1">
      <alignment horizontal="right" vertical="top" wrapText="1"/>
    </xf>
    <xf numFmtId="0" fontId="76" fillId="13" borderId="1" xfId="4" applyFont="1" applyFill="1" applyBorder="1" applyAlignment="1">
      <alignment horizontal="left" vertical="top" wrapText="1"/>
    </xf>
    <xf numFmtId="49" fontId="78" fillId="13" borderId="1" xfId="0" applyNumberFormat="1" applyFont="1" applyFill="1" applyBorder="1" applyAlignment="1">
      <alignment horizontal="right" vertical="top" wrapText="1"/>
    </xf>
    <xf numFmtId="0" fontId="76" fillId="13" borderId="1" xfId="11" applyFont="1" applyFill="1" applyBorder="1" applyAlignment="1">
      <alignment horizontal="left" vertical="top" wrapText="1"/>
    </xf>
    <xf numFmtId="4" fontId="76" fillId="13" borderId="1" xfId="0" applyNumberFormat="1" applyFont="1" applyFill="1" applyBorder="1" applyAlignment="1">
      <alignment horizontal="center" vertical="top" wrapText="1"/>
    </xf>
    <xf numFmtId="0" fontId="76" fillId="13" borderId="3" xfId="0" applyFont="1" applyFill="1" applyBorder="1" applyAlignment="1">
      <alignment horizontal="left" vertical="top" wrapText="1"/>
    </xf>
    <xf numFmtId="0" fontId="76" fillId="13" borderId="5" xfId="0" applyFont="1" applyFill="1" applyBorder="1" applyAlignment="1">
      <alignment horizontal="left" vertical="top" wrapText="1"/>
    </xf>
    <xf numFmtId="0" fontId="76" fillId="13" borderId="1" xfId="0" applyFont="1" applyFill="1" applyBorder="1" applyAlignment="1">
      <alignment horizontal="center" vertical="top" wrapText="1"/>
    </xf>
    <xf numFmtId="2" fontId="76" fillId="13" borderId="1" xfId="0" applyNumberFormat="1" applyFont="1" applyFill="1" applyBorder="1" applyAlignment="1">
      <alignment horizontal="right" vertical="top" wrapText="1"/>
    </xf>
    <xf numFmtId="0" fontId="76" fillId="13" borderId="5" xfId="0" applyFont="1" applyFill="1" applyBorder="1" applyAlignment="1">
      <alignment vertical="top" wrapText="1"/>
    </xf>
    <xf numFmtId="0" fontId="74" fillId="4" borderId="0" xfId="0" applyFont="1" applyFill="1"/>
    <xf numFmtId="0" fontId="69" fillId="2" borderId="0" xfId="0" applyFont="1" applyFill="1"/>
    <xf numFmtId="0" fontId="74" fillId="2" borderId="0" xfId="0" applyFont="1" applyFill="1"/>
    <xf numFmtId="0" fontId="79" fillId="2" borderId="0" xfId="0" applyFont="1" applyFill="1"/>
    <xf numFmtId="166" fontId="80" fillId="15" borderId="1" xfId="0" applyNumberFormat="1" applyFont="1" applyFill="1" applyBorder="1" applyAlignment="1">
      <alignment horizontal="right" vertical="top" wrapText="1"/>
    </xf>
    <xf numFmtId="0" fontId="80" fillId="13" borderId="1" xfId="4" applyFont="1" applyFill="1" applyBorder="1" applyAlignment="1">
      <alignment vertical="top" wrapText="1"/>
    </xf>
    <xf numFmtId="166" fontId="80" fillId="13" borderId="1" xfId="4" applyNumberFormat="1" applyFont="1" applyFill="1" applyBorder="1" applyAlignment="1">
      <alignment vertical="top" wrapText="1"/>
    </xf>
    <xf numFmtId="49" fontId="6" fillId="16" borderId="8" xfId="0" applyNumberFormat="1" applyFont="1" applyFill="1" applyBorder="1" applyAlignment="1">
      <alignment horizontal="center" vertical="center" wrapText="1"/>
    </xf>
    <xf numFmtId="49" fontId="6" fillId="16" borderId="14" xfId="0" applyNumberFormat="1" applyFont="1" applyFill="1" applyBorder="1" applyAlignment="1">
      <alignment horizontal="center" vertical="center" wrapText="1"/>
    </xf>
    <xf numFmtId="0" fontId="12" fillId="17" borderId="1" xfId="4" applyFont="1" applyFill="1" applyBorder="1" applyAlignment="1">
      <alignment horizontal="left" vertical="top" wrapText="1"/>
    </xf>
    <xf numFmtId="0" fontId="6" fillId="17" borderId="1" xfId="4" applyFont="1" applyFill="1" applyBorder="1" applyAlignment="1">
      <alignment vertical="top" wrapText="1"/>
    </xf>
    <xf numFmtId="166" fontId="6" fillId="16" borderId="1" xfId="4" applyNumberFormat="1" applyFont="1" applyFill="1" applyBorder="1" applyAlignment="1">
      <alignment vertical="top" wrapText="1"/>
    </xf>
    <xf numFmtId="0" fontId="7" fillId="16" borderId="1" xfId="4" applyFont="1" applyFill="1" applyBorder="1" applyAlignment="1">
      <alignment horizontal="left" vertical="top" wrapText="1"/>
    </xf>
    <xf numFmtId="0" fontId="6" fillId="16" borderId="1" xfId="4" applyFont="1" applyFill="1" applyBorder="1" applyAlignment="1">
      <alignment vertical="top" wrapText="1"/>
    </xf>
    <xf numFmtId="0" fontId="55" fillId="4" borderId="2" xfId="0" applyFont="1" applyFill="1" applyBorder="1" applyAlignment="1">
      <alignment vertical="top" wrapText="1"/>
    </xf>
    <xf numFmtId="0" fontId="81" fillId="4" borderId="1" xfId="11" applyFont="1" applyFill="1" applyBorder="1" applyAlignment="1">
      <alignment horizontal="center" vertical="top" wrapText="1"/>
    </xf>
    <xf numFmtId="0" fontId="6" fillId="17" borderId="1" xfId="4" applyFont="1" applyFill="1" applyBorder="1" applyAlignment="1">
      <alignment horizontal="left" vertical="top" wrapText="1"/>
    </xf>
    <xf numFmtId="0" fontId="6" fillId="16" borderId="1" xfId="4" applyFont="1" applyFill="1" applyBorder="1" applyAlignment="1">
      <alignment horizontal="left" vertical="top" wrapText="1"/>
    </xf>
    <xf numFmtId="0" fontId="67" fillId="13" borderId="1" xfId="4" applyFont="1" applyFill="1" applyBorder="1" applyAlignment="1">
      <alignment horizontal="left" vertical="top" wrapText="1"/>
    </xf>
    <xf numFmtId="166" fontId="76" fillId="18" borderId="4" xfId="0" applyNumberFormat="1" applyFont="1" applyFill="1" applyBorder="1" applyAlignment="1">
      <alignment horizontal="right" vertical="top" wrapText="1"/>
    </xf>
    <xf numFmtId="4" fontId="67" fillId="13" borderId="1" xfId="0" applyNumberFormat="1" applyFont="1" applyFill="1" applyBorder="1" applyAlignment="1">
      <alignment horizontal="right" vertical="top" wrapText="1"/>
    </xf>
    <xf numFmtId="49" fontId="82" fillId="13" borderId="3" xfId="0" applyNumberFormat="1" applyFont="1" applyFill="1" applyBorder="1" applyAlignment="1">
      <alignment vertical="top" wrapText="1"/>
    </xf>
    <xf numFmtId="49" fontId="82" fillId="13" borderId="1" xfId="0" applyNumberFormat="1" applyFont="1" applyFill="1" applyBorder="1" applyAlignment="1">
      <alignment horizontal="right" vertical="top" wrapText="1"/>
    </xf>
    <xf numFmtId="49" fontId="67" fillId="13" borderId="3" xfId="0" applyNumberFormat="1" applyFont="1" applyFill="1" applyBorder="1" applyAlignment="1">
      <alignment vertical="top" wrapText="1"/>
    </xf>
    <xf numFmtId="49" fontId="67" fillId="13" borderId="5" xfId="0" applyNumberFormat="1" applyFont="1" applyFill="1" applyBorder="1" applyAlignment="1">
      <alignment vertical="top" wrapText="1"/>
    </xf>
    <xf numFmtId="166" fontId="67" fillId="13" borderId="1" xfId="0" applyNumberFormat="1" applyFont="1" applyFill="1" applyBorder="1" applyAlignment="1">
      <alignment horizontal="right" vertical="top" wrapText="1"/>
    </xf>
    <xf numFmtId="49" fontId="82" fillId="13" borderId="1" xfId="7" applyNumberFormat="1" applyFont="1" applyFill="1" applyBorder="1" applyAlignment="1">
      <alignment horizontal="right" vertical="top" wrapText="1"/>
    </xf>
    <xf numFmtId="166" fontId="67" fillId="13" borderId="1" xfId="7" applyNumberFormat="1" applyFont="1" applyFill="1" applyBorder="1" applyAlignment="1">
      <alignment horizontal="right" vertical="top" wrapText="1"/>
    </xf>
    <xf numFmtId="166" fontId="82" fillId="13" borderId="1" xfId="7" applyNumberFormat="1" applyFont="1" applyFill="1" applyBorder="1" applyAlignment="1">
      <alignment horizontal="left" vertical="top" wrapText="1"/>
    </xf>
    <xf numFmtId="4" fontId="82" fillId="13" borderId="1" xfId="0" applyNumberFormat="1" applyFont="1" applyFill="1" applyBorder="1" applyAlignment="1">
      <alignment horizontal="left" vertical="top" wrapText="1"/>
    </xf>
    <xf numFmtId="49" fontId="68" fillId="13" borderId="4" xfId="0" applyNumberFormat="1" applyFont="1" applyFill="1" applyBorder="1" applyAlignment="1">
      <alignment vertical="top" wrapText="1"/>
    </xf>
    <xf numFmtId="4" fontId="67" fillId="13" borderId="4" xfId="0" applyNumberFormat="1" applyFont="1" applyFill="1" applyBorder="1" applyAlignment="1">
      <alignment horizontal="right" vertical="top" wrapText="1"/>
    </xf>
    <xf numFmtId="0" fontId="82" fillId="13" borderId="2" xfId="0" applyFont="1" applyFill="1" applyBorder="1" applyAlignment="1">
      <alignment vertical="top" wrapText="1"/>
    </xf>
    <xf numFmtId="0" fontId="68" fillId="13" borderId="1" xfId="11" applyFont="1" applyFill="1" applyBorder="1" applyAlignment="1">
      <alignment horizontal="center" vertical="top" wrapText="1"/>
    </xf>
    <xf numFmtId="0" fontId="7" fillId="17" borderId="1" xfId="4" applyFont="1" applyFill="1" applyBorder="1" applyAlignment="1">
      <alignment vertical="top" wrapText="1"/>
    </xf>
    <xf numFmtId="0" fontId="12" fillId="17" borderId="1" xfId="4" applyFont="1" applyFill="1" applyBorder="1" applyAlignment="1">
      <alignment vertical="top" wrapText="1"/>
    </xf>
    <xf numFmtId="166" fontId="12" fillId="16" borderId="1" xfId="4" applyNumberFormat="1" applyFont="1" applyFill="1" applyBorder="1" applyAlignment="1">
      <alignment vertical="top" wrapText="1"/>
    </xf>
    <xf numFmtId="0" fontId="7" fillId="16" borderId="1" xfId="4" applyFont="1" applyFill="1" applyBorder="1" applyAlignment="1">
      <alignment vertical="top" wrapText="1"/>
    </xf>
    <xf numFmtId="0" fontId="23" fillId="16" borderId="1" xfId="4" applyFont="1" applyFill="1" applyBorder="1" applyAlignment="1">
      <alignment vertical="top" wrapText="1"/>
    </xf>
    <xf numFmtId="0" fontId="12" fillId="16" borderId="1" xfId="4" applyFont="1" applyFill="1" applyBorder="1" applyAlignment="1">
      <alignment vertical="top" wrapText="1"/>
    </xf>
    <xf numFmtId="166" fontId="71" fillId="13" borderId="1" xfId="4" applyNumberFormat="1" applyFont="1" applyFill="1" applyBorder="1" applyAlignment="1">
      <alignment vertical="top" wrapText="1"/>
    </xf>
    <xf numFmtId="166" fontId="72" fillId="13" borderId="1" xfId="0" applyNumberFormat="1" applyFont="1" applyFill="1" applyBorder="1" applyAlignment="1">
      <alignment vertical="top" wrapText="1"/>
    </xf>
    <xf numFmtId="49" fontId="71" fillId="13" borderId="1" xfId="0" applyNumberFormat="1" applyFont="1" applyFill="1" applyBorder="1" applyAlignment="1">
      <alignment vertical="top" wrapText="1"/>
    </xf>
    <xf numFmtId="166" fontId="71" fillId="13" borderId="1" xfId="0" applyNumberFormat="1" applyFont="1" applyFill="1" applyBorder="1" applyAlignment="1">
      <alignment vertical="top" wrapText="1"/>
    </xf>
    <xf numFmtId="49" fontId="71" fillId="13" borderId="1" xfId="0" applyNumberFormat="1" applyFont="1" applyFill="1" applyBorder="1" applyAlignment="1">
      <alignment horizontal="center" vertical="top" wrapText="1"/>
    </xf>
    <xf numFmtId="49" fontId="71" fillId="13" borderId="4" xfId="0" applyNumberFormat="1" applyFont="1" applyFill="1" applyBorder="1" applyAlignment="1">
      <alignment horizontal="left" vertical="top" wrapText="1"/>
    </xf>
    <xf numFmtId="0" fontId="71" fillId="13" borderId="1" xfId="0" applyFont="1" applyFill="1" applyBorder="1" applyAlignment="1">
      <alignment vertical="top" wrapText="1"/>
    </xf>
    <xf numFmtId="49" fontId="71" fillId="13" borderId="4" xfId="0" applyNumberFormat="1" applyFont="1" applyFill="1" applyBorder="1" applyAlignment="1">
      <alignment horizontal="center" vertical="top" wrapText="1"/>
    </xf>
    <xf numFmtId="0" fontId="71" fillId="13" borderId="3" xfId="0" applyFont="1" applyFill="1" applyBorder="1" applyAlignment="1">
      <alignment vertical="top" wrapText="1"/>
    </xf>
    <xf numFmtId="0" fontId="71" fillId="13" borderId="5" xfId="0" applyFont="1" applyFill="1" applyBorder="1" applyAlignment="1">
      <alignment vertical="top" wrapText="1"/>
    </xf>
    <xf numFmtId="0" fontId="71" fillId="13" borderId="3" xfId="0" applyFont="1" applyFill="1" applyBorder="1" applyAlignment="1">
      <alignment horizontal="center" vertical="top" wrapText="1"/>
    </xf>
    <xf numFmtId="49" fontId="71" fillId="13" borderId="3" xfId="0" applyNumberFormat="1" applyFont="1" applyFill="1" applyBorder="1" applyAlignment="1">
      <alignment horizontal="left" vertical="top" wrapText="1"/>
    </xf>
    <xf numFmtId="4" fontId="71" fillId="13" borderId="1" xfId="0" applyNumberFormat="1" applyFont="1" applyFill="1" applyBorder="1" applyAlignment="1">
      <alignment horizontal="center" vertical="top" wrapText="1"/>
    </xf>
    <xf numFmtId="49" fontId="71" fillId="13" borderId="1" xfId="0" applyNumberFormat="1" applyFont="1" applyFill="1" applyBorder="1" applyAlignment="1">
      <alignment horizontal="left" vertical="top" wrapText="1"/>
    </xf>
    <xf numFmtId="166" fontId="71" fillId="13" borderId="1" xfId="0" applyNumberFormat="1" applyFont="1" applyFill="1" applyBorder="1" applyAlignment="1">
      <alignment horizontal="center" vertical="top" wrapText="1"/>
    </xf>
    <xf numFmtId="0" fontId="23" fillId="17" borderId="1" xfId="4" applyFont="1" applyFill="1" applyBorder="1" applyAlignment="1">
      <alignment vertical="top" wrapText="1"/>
    </xf>
    <xf numFmtId="166" fontId="72" fillId="13" borderId="1" xfId="4" applyNumberFormat="1" applyFont="1" applyFill="1" applyBorder="1" applyAlignment="1">
      <alignment vertical="top" wrapText="1"/>
    </xf>
    <xf numFmtId="49" fontId="72" fillId="13" borderId="1" xfId="0" applyNumberFormat="1" applyFont="1" applyFill="1" applyBorder="1" applyAlignment="1">
      <alignment vertical="top" wrapText="1"/>
    </xf>
    <xf numFmtId="166" fontId="72" fillId="13" borderId="1" xfId="0" applyNumberFormat="1" applyFont="1" applyFill="1" applyBorder="1" applyAlignment="1">
      <alignment horizontal="center" vertical="top" wrapText="1"/>
    </xf>
    <xf numFmtId="166" fontId="72" fillId="13" borderId="1" xfId="0" applyNumberFormat="1" applyFont="1" applyFill="1" applyBorder="1" applyAlignment="1">
      <alignment horizontal="left" vertical="top" wrapText="1"/>
    </xf>
    <xf numFmtId="49" fontId="72" fillId="13" borderId="1" xfId="0" applyNumberFormat="1" applyFont="1" applyFill="1" applyBorder="1" applyAlignment="1">
      <alignment horizontal="left" vertical="top" wrapText="1"/>
    </xf>
    <xf numFmtId="166" fontId="72" fillId="13" borderId="1" xfId="4" applyNumberFormat="1" applyFont="1" applyFill="1" applyBorder="1" applyAlignment="1">
      <alignment horizontal="center" vertical="top" wrapText="1"/>
    </xf>
    <xf numFmtId="166" fontId="72" fillId="13" borderId="1" xfId="4" applyNumberFormat="1" applyFont="1" applyFill="1" applyBorder="1" applyAlignment="1">
      <alignment horizontal="left" vertical="top" wrapText="1"/>
    </xf>
    <xf numFmtId="166" fontId="72" fillId="13" borderId="5" xfId="0" applyNumberFormat="1" applyFont="1" applyFill="1" applyBorder="1" applyAlignment="1">
      <alignment horizontal="center" vertical="top" wrapText="1"/>
    </xf>
    <xf numFmtId="0" fontId="72" fillId="13" borderId="1" xfId="0" applyFont="1" applyFill="1" applyBorder="1" applyAlignment="1">
      <alignment vertical="top" wrapText="1"/>
    </xf>
    <xf numFmtId="166" fontId="72" fillId="13" borderId="1" xfId="6" applyNumberFormat="1" applyFont="1" applyFill="1" applyBorder="1" applyAlignment="1">
      <alignment vertical="top" wrapText="1"/>
    </xf>
    <xf numFmtId="0" fontId="72" fillId="13" borderId="1" xfId="6" applyFont="1" applyFill="1" applyBorder="1" applyAlignment="1">
      <alignment vertical="top" wrapText="1"/>
    </xf>
    <xf numFmtId="166" fontId="72" fillId="13" borderId="1" xfId="6" applyNumberFormat="1" applyFont="1" applyFill="1" applyBorder="1" applyAlignment="1">
      <alignment horizontal="center" vertical="top" wrapText="1"/>
    </xf>
    <xf numFmtId="0" fontId="83" fillId="13" borderId="1" xfId="6" applyFont="1" applyFill="1" applyBorder="1" applyAlignment="1">
      <alignment horizontal="right" vertical="top" wrapText="1"/>
    </xf>
    <xf numFmtId="0" fontId="72" fillId="13" borderId="1" xfId="6" applyFont="1" applyFill="1" applyBorder="1" applyAlignment="1">
      <alignment horizontal="right" vertical="top" wrapText="1"/>
    </xf>
    <xf numFmtId="166" fontId="72" fillId="13" borderId="1" xfId="6" applyNumberFormat="1" applyFont="1" applyFill="1" applyBorder="1" applyAlignment="1">
      <alignment horizontal="right" vertical="top" wrapText="1"/>
    </xf>
    <xf numFmtId="49" fontId="72" fillId="13" borderId="4" xfId="0" applyNumberFormat="1" applyFont="1" applyFill="1" applyBorder="1" applyAlignment="1">
      <alignment horizontal="left" vertical="top" wrapText="1"/>
    </xf>
    <xf numFmtId="166" fontId="72" fillId="13" borderId="4" xfId="6" applyNumberFormat="1" applyFont="1" applyFill="1" applyBorder="1" applyAlignment="1">
      <alignment vertical="top" wrapText="1"/>
    </xf>
    <xf numFmtId="166" fontId="72" fillId="13" borderId="4" xfId="6" applyNumberFormat="1" applyFont="1" applyFill="1" applyBorder="1" applyAlignment="1">
      <alignment horizontal="center" vertical="top" wrapText="1"/>
    </xf>
    <xf numFmtId="166" fontId="72" fillId="13" borderId="4" xfId="6" applyNumberFormat="1" applyFont="1" applyFill="1" applyBorder="1" applyAlignment="1">
      <alignment horizontal="left" vertical="top" wrapText="1"/>
    </xf>
    <xf numFmtId="3" fontId="72" fillId="13" borderId="4" xfId="6" applyNumberFormat="1" applyFont="1" applyFill="1" applyBorder="1" applyAlignment="1">
      <alignment horizontal="right" vertical="top" wrapText="1"/>
    </xf>
    <xf numFmtId="0" fontId="72" fillId="13" borderId="1" xfId="4" applyFont="1" applyFill="1" applyBorder="1" applyAlignment="1">
      <alignment vertical="top" wrapText="1"/>
    </xf>
    <xf numFmtId="49" fontId="12" fillId="16" borderId="8" xfId="0" applyNumberFormat="1" applyFont="1" applyFill="1" applyBorder="1" applyAlignment="1">
      <alignment horizontal="center" vertical="center" wrapText="1"/>
    </xf>
    <xf numFmtId="49" fontId="12" fillId="16" borderId="14" xfId="0" applyNumberFormat="1" applyFont="1" applyFill="1" applyBorder="1" applyAlignment="1">
      <alignment horizontal="center" vertical="center" wrapText="1"/>
    </xf>
    <xf numFmtId="49" fontId="12" fillId="16" borderId="7" xfId="0" applyNumberFormat="1" applyFont="1" applyFill="1" applyBorder="1" applyAlignment="1">
      <alignment horizontal="center" vertical="center" wrapText="1"/>
    </xf>
    <xf numFmtId="166" fontId="67" fillId="13" borderId="4" xfId="0" applyNumberFormat="1" applyFont="1" applyFill="1" applyBorder="1" applyAlignment="1">
      <alignment vertical="top" wrapText="1"/>
    </xf>
    <xf numFmtId="0" fontId="86" fillId="13" borderId="1" xfId="4" applyFont="1" applyFill="1" applyBorder="1" applyAlignment="1">
      <alignment vertical="top" wrapText="1"/>
    </xf>
    <xf numFmtId="0" fontId="87" fillId="13" borderId="1" xfId="4" applyFont="1" applyFill="1" applyBorder="1" applyAlignment="1">
      <alignment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5" fillId="2" borderId="0" xfId="0" applyFont="1" applyFill="1"/>
    <xf numFmtId="166" fontId="38" fillId="4" borderId="0" xfId="0" applyNumberFormat="1" applyFont="1" applyFill="1" applyAlignment="1">
      <alignment horizontal="center" vertical="top" wrapText="1"/>
    </xf>
    <xf numFmtId="166" fontId="11" fillId="4" borderId="0" xfId="0" applyNumberFormat="1" applyFont="1" applyFill="1" applyAlignment="1">
      <alignment horizontal="center" vertical="top" wrapText="1"/>
    </xf>
    <xf numFmtId="166" fontId="40" fillId="4" borderId="0" xfId="0" applyNumberFormat="1" applyFont="1" applyFill="1" applyAlignment="1">
      <alignment horizontal="center" vertical="top" wrapText="1"/>
    </xf>
    <xf numFmtId="0" fontId="39" fillId="9" borderId="0" xfId="4" applyFont="1" applyFill="1" applyAlignment="1">
      <alignment horizontal="center" vertical="top" wrapText="1"/>
    </xf>
    <xf numFmtId="0" fontId="41" fillId="4" borderId="0" xfId="4" applyFont="1" applyFill="1" applyAlignment="1">
      <alignment horizontal="center" vertical="top" wrapText="1"/>
    </xf>
    <xf numFmtId="0" fontId="12" fillId="0" borderId="1" xfId="4" applyFont="1" applyBorder="1" applyAlignment="1">
      <alignment vertical="top" wrapText="1"/>
    </xf>
    <xf numFmtId="0" fontId="12" fillId="4" borderId="1" xfId="4" applyFont="1" applyFill="1" applyBorder="1" applyAlignment="1">
      <alignment vertical="top" wrapText="1"/>
    </xf>
    <xf numFmtId="0" fontId="39" fillId="4" borderId="0" xfId="4" applyFont="1" applyFill="1" applyAlignment="1">
      <alignment horizontal="center" vertical="top" wrapText="1"/>
    </xf>
    <xf numFmtId="0" fontId="13" fillId="2" borderId="0" xfId="0" applyFont="1" applyFill="1"/>
    <xf numFmtId="4" fontId="20" fillId="4" borderId="1" xfId="4" applyNumberFormat="1" applyFont="1" applyFill="1" applyBorder="1" applyAlignment="1">
      <alignment vertical="top" wrapText="1"/>
    </xf>
    <xf numFmtId="0" fontId="40" fillId="0" borderId="0" xfId="4" applyFont="1" applyAlignment="1">
      <alignment horizontal="center" vertical="top" wrapText="1"/>
    </xf>
    <xf numFmtId="166" fontId="88" fillId="20" borderId="1" xfId="0" applyNumberFormat="1" applyFont="1" applyFill="1" applyBorder="1" applyAlignment="1">
      <alignment vertical="top" wrapText="1"/>
    </xf>
    <xf numFmtId="166" fontId="89" fillId="13" borderId="1" xfId="0" applyNumberFormat="1" applyFont="1" applyFill="1" applyBorder="1" applyAlignment="1">
      <alignment vertical="top" wrapText="1"/>
    </xf>
    <xf numFmtId="166" fontId="90" fillId="4" borderId="1" xfId="0" applyNumberFormat="1" applyFont="1" applyFill="1" applyBorder="1" applyAlignment="1">
      <alignment horizontal="right" vertical="top" wrapText="1"/>
    </xf>
    <xf numFmtId="166" fontId="91" fillId="4" borderId="1" xfId="0" applyNumberFormat="1" applyFont="1" applyFill="1" applyBorder="1" applyAlignment="1">
      <alignment vertical="top" wrapText="1"/>
    </xf>
    <xf numFmtId="166" fontId="91" fillId="4" borderId="1" xfId="0" applyNumberFormat="1" applyFont="1" applyFill="1" applyBorder="1" applyAlignment="1">
      <alignment horizontal="right" vertical="top" wrapText="1"/>
    </xf>
    <xf numFmtId="166" fontId="91" fillId="4" borderId="2" xfId="0" applyNumberFormat="1" applyFont="1" applyFill="1" applyBorder="1" applyAlignment="1">
      <alignment horizontal="right" vertical="top" wrapText="1"/>
    </xf>
    <xf numFmtId="166" fontId="91" fillId="4" borderId="1" xfId="1" applyNumberFormat="1" applyFont="1" applyFill="1" applyBorder="1" applyAlignment="1">
      <alignment horizontal="right" vertical="top" wrapText="1"/>
    </xf>
    <xf numFmtId="166" fontId="91" fillId="4" borderId="1" xfId="6" applyNumberFormat="1" applyFont="1" applyFill="1" applyBorder="1" applyAlignment="1">
      <alignment vertical="top" wrapText="1"/>
    </xf>
    <xf numFmtId="166" fontId="91" fillId="4" borderId="1" xfId="0" applyNumberFormat="1" applyFont="1" applyFill="1" applyBorder="1" applyAlignment="1">
      <alignment vertical="top"/>
    </xf>
    <xf numFmtId="166" fontId="93" fillId="4" borderId="1" xfId="0" applyNumberFormat="1" applyFont="1" applyFill="1" applyBorder="1" applyAlignment="1">
      <alignment vertical="top" wrapText="1"/>
    </xf>
    <xf numFmtId="166" fontId="93" fillId="4" borderId="1" xfId="0" applyNumberFormat="1" applyFont="1" applyFill="1" applyBorder="1" applyAlignment="1">
      <alignment horizontal="right" vertical="top" wrapText="1"/>
    </xf>
    <xf numFmtId="0" fontId="93" fillId="4" borderId="2" xfId="0" applyFont="1" applyFill="1" applyBorder="1" applyAlignment="1">
      <alignment horizontal="left" vertical="top" wrapText="1"/>
    </xf>
    <xf numFmtId="166" fontId="11" fillId="0" borderId="0" xfId="0" applyNumberFormat="1" applyFont="1" applyAlignment="1">
      <alignment horizontal="center"/>
    </xf>
    <xf numFmtId="0" fontId="93" fillId="4" borderId="1" xfId="0" applyFont="1" applyFill="1" applyBorder="1" applyAlignment="1">
      <alignment horizontal="left" vertical="top" wrapText="1"/>
    </xf>
    <xf numFmtId="49" fontId="90" fillId="4" borderId="1" xfId="11" applyNumberFormat="1" applyFont="1" applyFill="1" applyBorder="1" applyAlignment="1">
      <alignment horizontal="right" vertical="top" wrapText="1"/>
    </xf>
    <xf numFmtId="0" fontId="90" fillId="4" borderId="1" xfId="1" applyFont="1" applyFill="1" applyBorder="1" applyAlignment="1">
      <alignment horizontal="right" vertical="top" wrapText="1"/>
    </xf>
    <xf numFmtId="166" fontId="94" fillId="4" borderId="1" xfId="0" applyNumberFormat="1" applyFont="1" applyFill="1" applyBorder="1" applyAlignment="1">
      <alignment vertical="top" wrapText="1"/>
    </xf>
    <xf numFmtId="49" fontId="12" fillId="16" borderId="2" xfId="0" applyNumberFormat="1" applyFont="1" applyFill="1" applyBorder="1" applyAlignment="1">
      <alignment horizontal="center" vertical="top" wrapText="1"/>
    </xf>
    <xf numFmtId="49" fontId="12" fillId="16" borderId="4" xfId="0" applyNumberFormat="1" applyFont="1" applyFill="1" applyBorder="1" applyAlignment="1">
      <alignment horizontal="center" vertical="top" wrapText="1"/>
    </xf>
    <xf numFmtId="166" fontId="20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5" fillId="2" borderId="0" xfId="0" applyFont="1" applyFill="1" applyAlignment="1">
      <alignment vertical="top" wrapText="1"/>
    </xf>
    <xf numFmtId="4" fontId="72" fillId="13" borderId="1" xfId="4" applyNumberFormat="1" applyFont="1" applyFill="1" applyBorder="1" applyAlignment="1">
      <alignment horizontal="center" vertical="top" wrapText="1"/>
    </xf>
    <xf numFmtId="0" fontId="95" fillId="4" borderId="1" xfId="0" applyFont="1" applyFill="1" applyBorder="1" applyAlignment="1">
      <alignment horizontal="left" vertical="top" wrapText="1"/>
    </xf>
    <xf numFmtId="0" fontId="95" fillId="4" borderId="1" xfId="0" applyFont="1" applyFill="1" applyBorder="1" applyAlignment="1">
      <alignment horizontal="right" vertical="top" wrapText="1"/>
    </xf>
    <xf numFmtId="49" fontId="95" fillId="4" borderId="1" xfId="0" applyNumberFormat="1" applyFont="1" applyFill="1" applyBorder="1" applyAlignment="1">
      <alignment horizontal="right" vertical="top" wrapText="1"/>
    </xf>
    <xf numFmtId="0" fontId="96" fillId="4" borderId="1" xfId="0" applyFont="1" applyFill="1" applyBorder="1" applyAlignment="1">
      <alignment horizontal="left" vertical="top" wrapText="1"/>
    </xf>
    <xf numFmtId="0" fontId="96" fillId="4" borderId="2" xfId="6" applyFont="1" applyFill="1" applyBorder="1" applyAlignment="1">
      <alignment horizontal="left" vertical="top" wrapText="1"/>
    </xf>
    <xf numFmtId="0" fontId="96" fillId="4" borderId="1" xfId="6" applyFont="1" applyFill="1" applyBorder="1" applyAlignment="1">
      <alignment horizontal="left" vertical="top" wrapText="1"/>
    </xf>
    <xf numFmtId="49" fontId="99" fillId="4" borderId="1" xfId="0" applyNumberFormat="1" applyFont="1" applyFill="1" applyBorder="1" applyAlignment="1">
      <alignment horizontal="right" vertical="top" wrapText="1"/>
    </xf>
    <xf numFmtId="0" fontId="96" fillId="0" borderId="1" xfId="0" applyFont="1" applyBorder="1" applyAlignment="1">
      <alignment vertical="top" wrapText="1"/>
    </xf>
    <xf numFmtId="165" fontId="96" fillId="4" borderId="1" xfId="0" applyNumberFormat="1" applyFont="1" applyFill="1" applyBorder="1" applyAlignment="1">
      <alignment horizontal="left" vertical="top" wrapText="1"/>
    </xf>
    <xf numFmtId="166" fontId="95" fillId="4" borderId="1" xfId="0" applyNumberFormat="1" applyFont="1" applyFill="1" applyBorder="1" applyAlignment="1">
      <alignment vertical="top" wrapText="1"/>
    </xf>
    <xf numFmtId="0" fontId="95" fillId="4" borderId="0" xfId="0" applyFont="1" applyFill="1" applyAlignment="1">
      <alignment horizontal="left" vertical="top"/>
    </xf>
    <xf numFmtId="0" fontId="101" fillId="4" borderId="0" xfId="0" applyFont="1" applyFill="1" applyAlignment="1">
      <alignment horizontal="center"/>
    </xf>
    <xf numFmtId="0" fontId="95" fillId="4" borderId="1" xfId="11" applyFont="1" applyFill="1" applyBorder="1" applyAlignment="1">
      <alignment horizontal="left" vertical="top" wrapText="1"/>
    </xf>
    <xf numFmtId="0" fontId="95" fillId="0" borderId="1" xfId="11" applyFont="1" applyBorder="1" applyAlignment="1">
      <alignment horizontal="left" vertical="top" wrapText="1"/>
    </xf>
    <xf numFmtId="0" fontId="95" fillId="0" borderId="1" xfId="0" applyFont="1" applyBorder="1" applyAlignment="1">
      <alignment horizontal="left" vertical="top" wrapText="1"/>
    </xf>
    <xf numFmtId="0" fontId="95" fillId="12" borderId="1" xfId="0" applyFont="1" applyFill="1" applyBorder="1" applyAlignment="1">
      <alignment horizontal="left" vertical="top" wrapText="1"/>
    </xf>
    <xf numFmtId="49" fontId="95" fillId="0" borderId="1" xfId="0" applyNumberFormat="1" applyFont="1" applyBorder="1" applyAlignment="1">
      <alignment horizontal="left" vertical="top" wrapText="1"/>
    </xf>
    <xf numFmtId="49" fontId="95" fillId="4" borderId="1" xfId="0" applyNumberFormat="1" applyFont="1" applyFill="1" applyBorder="1" applyAlignment="1">
      <alignment vertical="top" wrapText="1"/>
    </xf>
    <xf numFmtId="166" fontId="95" fillId="8" borderId="0" xfId="0" applyNumberFormat="1" applyFont="1" applyFill="1" applyAlignment="1">
      <alignment horizontal="left" vertical="top" wrapText="1"/>
    </xf>
    <xf numFmtId="166" fontId="102" fillId="4" borderId="0" xfId="4" applyNumberFormat="1" applyFont="1" applyFill="1" applyAlignment="1">
      <alignment horizontal="left" vertical="top" wrapText="1"/>
    </xf>
    <xf numFmtId="4" fontId="95" fillId="4" borderId="0" xfId="4" applyNumberFormat="1" applyFont="1" applyFill="1" applyAlignment="1">
      <alignment horizontal="left" vertical="top" wrapText="1"/>
    </xf>
    <xf numFmtId="166" fontId="95" fillId="4" borderId="0" xfId="0" applyNumberFormat="1" applyFont="1" applyFill="1" applyAlignment="1">
      <alignment horizontal="left" vertical="top"/>
    </xf>
    <xf numFmtId="0" fontId="93" fillId="4" borderId="1" xfId="4" applyFont="1" applyFill="1" applyBorder="1" applyAlignment="1">
      <alignment horizontal="left" vertical="top" wrapText="1"/>
    </xf>
    <xf numFmtId="0" fontId="95" fillId="2" borderId="0" xfId="0" applyFont="1" applyFill="1"/>
    <xf numFmtId="0" fontId="101" fillId="2" borderId="0" xfId="0" applyFont="1" applyFill="1"/>
    <xf numFmtId="0" fontId="101" fillId="13" borderId="1" xfId="0" applyFont="1" applyFill="1" applyBorder="1" applyAlignment="1">
      <alignment horizontal="left" vertical="top" wrapText="1"/>
    </xf>
    <xf numFmtId="166" fontId="93" fillId="0" borderId="1" xfId="0" applyNumberFormat="1" applyFont="1" applyBorder="1" applyAlignment="1">
      <alignment vertical="top" wrapText="1"/>
    </xf>
    <xf numFmtId="0" fontId="101" fillId="13" borderId="1" xfId="11" applyFont="1" applyFill="1" applyBorder="1" applyAlignment="1">
      <alignment horizontal="left" vertical="top" wrapText="1"/>
    </xf>
    <xf numFmtId="49" fontId="101" fillId="13" borderId="1" xfId="0" applyNumberFormat="1" applyFont="1" applyFill="1" applyBorder="1" applyAlignment="1">
      <alignment horizontal="left" vertical="top" wrapText="1"/>
    </xf>
    <xf numFmtId="49" fontId="101" fillId="13" borderId="1" xfId="0" applyNumberFormat="1" applyFont="1" applyFill="1" applyBorder="1" applyAlignment="1">
      <alignment vertical="top" wrapText="1"/>
    </xf>
    <xf numFmtId="166" fontId="95" fillId="15" borderId="1" xfId="0" applyNumberFormat="1" applyFont="1" applyFill="1" applyBorder="1" applyAlignment="1">
      <alignment horizontal="left" vertical="top" wrapText="1"/>
    </xf>
    <xf numFmtId="0" fontId="95" fillId="11" borderId="1" xfId="0" applyFont="1" applyFill="1" applyBorder="1" applyAlignment="1">
      <alignment horizontal="left" vertical="top" wrapText="1"/>
    </xf>
    <xf numFmtId="0" fontId="103" fillId="0" borderId="0" xfId="0" applyFont="1"/>
    <xf numFmtId="0" fontId="104" fillId="13" borderId="3" xfId="0" applyFont="1" applyFill="1" applyBorder="1" applyAlignment="1">
      <alignment vertical="top" wrapText="1"/>
    </xf>
    <xf numFmtId="0" fontId="93" fillId="4" borderId="1" xfId="0" applyFont="1" applyFill="1" applyBorder="1" applyAlignment="1">
      <alignment vertical="top" wrapText="1"/>
    </xf>
    <xf numFmtId="49" fontId="104" fillId="13" borderId="4" xfId="0" applyNumberFormat="1" applyFont="1" applyFill="1" applyBorder="1" applyAlignment="1">
      <alignment horizontal="left" vertical="top" wrapText="1"/>
    </xf>
    <xf numFmtId="0" fontId="93" fillId="4" borderId="4" xfId="0" applyFont="1" applyFill="1" applyBorder="1" applyAlignment="1">
      <alignment horizontal="left" vertical="top" wrapText="1"/>
    </xf>
    <xf numFmtId="49" fontId="93" fillId="0" borderId="1" xfId="0" applyNumberFormat="1" applyFont="1" applyBorder="1" applyAlignment="1">
      <alignment horizontal="left" vertical="top" wrapText="1"/>
    </xf>
    <xf numFmtId="49" fontId="93" fillId="4" borderId="1" xfId="0" applyNumberFormat="1" applyFont="1" applyFill="1" applyBorder="1" applyAlignment="1">
      <alignment horizontal="left" vertical="top" wrapText="1"/>
    </xf>
    <xf numFmtId="0" fontId="93" fillId="0" borderId="1" xfId="0" applyFont="1" applyBorder="1" applyAlignment="1">
      <alignment horizontal="left" vertical="top" wrapText="1"/>
    </xf>
    <xf numFmtId="49" fontId="104" fillId="13" borderId="1" xfId="0" applyNumberFormat="1" applyFont="1" applyFill="1" applyBorder="1" applyAlignment="1">
      <alignment vertical="top" wrapText="1"/>
    </xf>
    <xf numFmtId="0" fontId="93" fillId="0" borderId="1" xfId="0" applyFont="1" applyBorder="1" applyAlignment="1">
      <alignment vertical="top" wrapText="1"/>
    </xf>
    <xf numFmtId="49" fontId="93" fillId="4" borderId="1" xfId="0" applyNumberFormat="1" applyFont="1" applyFill="1" applyBorder="1" applyAlignment="1">
      <alignment vertical="top" wrapText="1"/>
    </xf>
    <xf numFmtId="0" fontId="103" fillId="0" borderId="1" xfId="0" applyFont="1" applyBorder="1" applyAlignment="1">
      <alignment vertical="top" wrapText="1"/>
    </xf>
    <xf numFmtId="0" fontId="103" fillId="2" borderId="1" xfId="0" applyFont="1" applyFill="1" applyBorder="1" applyAlignment="1">
      <alignment vertical="top" wrapText="1"/>
    </xf>
    <xf numFmtId="0" fontId="93" fillId="2" borderId="1" xfId="0" applyFont="1" applyFill="1" applyBorder="1" applyAlignment="1">
      <alignment vertical="top" wrapText="1"/>
    </xf>
    <xf numFmtId="0" fontId="103" fillId="4" borderId="1" xfId="0" applyFont="1" applyFill="1" applyBorder="1" applyAlignment="1">
      <alignment vertical="top" wrapText="1"/>
    </xf>
    <xf numFmtId="0" fontId="105" fillId="2" borderId="0" xfId="0" applyFont="1" applyFill="1" applyAlignment="1">
      <alignment vertical="top" wrapText="1"/>
    </xf>
    <xf numFmtId="0" fontId="103" fillId="2" borderId="0" xfId="0" applyFont="1" applyFill="1"/>
    <xf numFmtId="0" fontId="106" fillId="2" borderId="0" xfId="0" applyFont="1" applyFill="1"/>
    <xf numFmtId="0" fontId="93" fillId="0" borderId="0" xfId="0" applyFont="1"/>
    <xf numFmtId="166" fontId="107" fillId="19" borderId="1" xfId="0" applyNumberFormat="1" applyFont="1" applyFill="1" applyBorder="1" applyAlignment="1">
      <alignment horizontal="right" vertical="top" wrapText="1"/>
    </xf>
    <xf numFmtId="166" fontId="91" fillId="19" borderId="1" xfId="0" applyNumberFormat="1" applyFont="1" applyFill="1" applyBorder="1" applyAlignment="1">
      <alignment vertical="top" wrapText="1"/>
    </xf>
    <xf numFmtId="166" fontId="90" fillId="19" borderId="1" xfId="0" applyNumberFormat="1" applyFont="1" applyFill="1" applyBorder="1" applyAlignment="1">
      <alignment horizontal="right" vertical="top" wrapText="1"/>
    </xf>
    <xf numFmtId="166" fontId="107" fillId="19" borderId="1" xfId="0" applyNumberFormat="1" applyFont="1" applyFill="1" applyBorder="1" applyAlignment="1">
      <alignment vertical="top" wrapText="1"/>
    </xf>
    <xf numFmtId="166" fontId="107" fillId="4" borderId="1" xfId="0" applyNumberFormat="1" applyFont="1" applyFill="1" applyBorder="1" applyAlignment="1">
      <alignment vertical="top" wrapText="1"/>
    </xf>
    <xf numFmtId="166" fontId="91" fillId="4" borderId="1" xfId="0" applyNumberFormat="1" applyFont="1" applyFill="1" applyBorder="1" applyAlignment="1">
      <alignment horizontal="right" vertical="top"/>
    </xf>
    <xf numFmtId="166" fontId="99" fillId="19" borderId="1" xfId="0" applyNumberFormat="1" applyFont="1" applyFill="1" applyBorder="1" applyAlignment="1">
      <alignment horizontal="right" vertical="top"/>
    </xf>
    <xf numFmtId="166" fontId="99" fillId="19" borderId="1" xfId="0" applyNumberFormat="1" applyFont="1" applyFill="1" applyBorder="1" applyAlignment="1">
      <alignment vertical="top" wrapText="1"/>
    </xf>
    <xf numFmtId="166" fontId="91" fillId="19" borderId="1" xfId="0" applyNumberFormat="1" applyFont="1" applyFill="1" applyBorder="1" applyAlignment="1">
      <alignment horizontal="right" vertical="top" wrapText="1"/>
    </xf>
    <xf numFmtId="49" fontId="97" fillId="19" borderId="1" xfId="0" applyNumberFormat="1" applyFont="1" applyFill="1" applyBorder="1" applyAlignment="1">
      <alignment vertical="top" wrapText="1"/>
    </xf>
    <xf numFmtId="0" fontId="95" fillId="19" borderId="1" xfId="0" applyFont="1" applyFill="1" applyBorder="1" applyAlignment="1">
      <alignment vertical="top" wrapText="1"/>
    </xf>
    <xf numFmtId="0" fontId="97" fillId="19" borderId="1" xfId="0" applyFont="1" applyFill="1" applyBorder="1" applyAlignment="1">
      <alignment horizontal="left" vertical="top" wrapText="1"/>
    </xf>
    <xf numFmtId="166" fontId="97" fillId="19" borderId="1" xfId="0" applyNumberFormat="1" applyFont="1" applyFill="1" applyBorder="1" applyAlignment="1">
      <alignment horizontal="right" vertical="top" wrapText="1"/>
    </xf>
    <xf numFmtId="166" fontId="95" fillId="19" borderId="1" xfId="0" applyNumberFormat="1" applyFont="1" applyFill="1" applyBorder="1" applyAlignment="1">
      <alignment vertical="top" wrapText="1"/>
    </xf>
    <xf numFmtId="0" fontId="97" fillId="19" borderId="1" xfId="11" applyFont="1" applyFill="1" applyBorder="1" applyAlignment="1">
      <alignment vertical="top" wrapText="1"/>
    </xf>
    <xf numFmtId="0" fontId="97" fillId="19" borderId="1" xfId="11" applyFont="1" applyFill="1" applyBorder="1" applyAlignment="1">
      <alignment horizontal="center" vertical="top" wrapText="1"/>
    </xf>
    <xf numFmtId="0" fontId="100" fillId="19" borderId="1" xfId="11" applyFont="1" applyFill="1" applyBorder="1" applyAlignment="1">
      <alignment horizontal="right" vertical="top" wrapText="1"/>
    </xf>
    <xf numFmtId="166" fontId="91" fillId="19" borderId="1" xfId="0" applyNumberFormat="1" applyFont="1" applyFill="1" applyBorder="1" applyAlignment="1">
      <alignment vertical="top"/>
    </xf>
    <xf numFmtId="166" fontId="99" fillId="19" borderId="1" xfId="0" applyNumberFormat="1" applyFont="1" applyFill="1" applyBorder="1" applyAlignment="1">
      <alignment vertical="top"/>
    </xf>
    <xf numFmtId="49" fontId="99" fillId="19" borderId="1" xfId="6" applyNumberFormat="1" applyFont="1" applyFill="1" applyBorder="1" applyAlignment="1">
      <alignment horizontal="left" vertical="top" wrapText="1"/>
    </xf>
    <xf numFmtId="0" fontId="91" fillId="4" borderId="1" xfId="0" applyFont="1" applyFill="1" applyBorder="1" applyAlignment="1">
      <alignment horizontal="right" vertical="top" wrapText="1"/>
    </xf>
    <xf numFmtId="0" fontId="98" fillId="0" borderId="0" xfId="0" applyFont="1" applyAlignment="1">
      <alignment vertical="top" wrapText="1"/>
    </xf>
    <xf numFmtId="0" fontId="108" fillId="2" borderId="0" xfId="0" applyFont="1" applyFill="1" applyAlignment="1">
      <alignment vertical="top" wrapText="1"/>
    </xf>
    <xf numFmtId="49" fontId="109" fillId="4" borderId="0" xfId="0" applyNumberFormat="1" applyFont="1" applyFill="1" applyAlignment="1">
      <alignment vertical="top" wrapText="1"/>
    </xf>
    <xf numFmtId="0" fontId="109" fillId="13" borderId="2" xfId="0" applyFont="1" applyFill="1" applyBorder="1" applyAlignment="1">
      <alignment vertical="top" wrapText="1"/>
    </xf>
    <xf numFmtId="49" fontId="96" fillId="4" borderId="1" xfId="0" applyNumberFormat="1" applyFont="1" applyFill="1" applyBorder="1" applyAlignment="1">
      <alignment vertical="top" wrapText="1"/>
    </xf>
    <xf numFmtId="0" fontId="96" fillId="4" borderId="1" xfId="0" applyFont="1" applyFill="1" applyBorder="1" applyAlignment="1">
      <alignment vertical="top" wrapText="1"/>
    </xf>
    <xf numFmtId="4" fontId="96" fillId="4" borderId="4" xfId="0" applyNumberFormat="1" applyFont="1" applyFill="1" applyBorder="1" applyAlignment="1">
      <alignment horizontal="left" vertical="top" wrapText="1"/>
    </xf>
    <xf numFmtId="0" fontId="96" fillId="4" borderId="2" xfId="0" applyFont="1" applyFill="1" applyBorder="1" applyAlignment="1">
      <alignment vertical="top" wrapText="1"/>
    </xf>
    <xf numFmtId="166" fontId="99" fillId="0" borderId="1" xfId="0" applyNumberFormat="1" applyFont="1" applyBorder="1" applyAlignment="1">
      <alignment vertical="top" wrapText="1"/>
    </xf>
    <xf numFmtId="0" fontId="96" fillId="19" borderId="1" xfId="11" applyFont="1" applyFill="1" applyBorder="1" applyAlignment="1">
      <alignment vertical="top" wrapText="1"/>
    </xf>
    <xf numFmtId="4" fontId="109" fillId="13" borderId="1" xfId="0" applyNumberFormat="1" applyFont="1" applyFill="1" applyBorder="1" applyAlignment="1">
      <alignment horizontal="left" vertical="top" wrapText="1"/>
    </xf>
    <xf numFmtId="49" fontId="109" fillId="13" borderId="3" xfId="0" applyNumberFormat="1" applyFont="1" applyFill="1" applyBorder="1" applyAlignment="1">
      <alignment vertical="top" wrapText="1"/>
    </xf>
    <xf numFmtId="49" fontId="96" fillId="4" borderId="1" xfId="11" applyNumberFormat="1" applyFont="1" applyFill="1" applyBorder="1" applyAlignment="1">
      <alignment vertical="top" wrapText="1"/>
    </xf>
    <xf numFmtId="165" fontId="96" fillId="2" borderId="1" xfId="0" applyNumberFormat="1" applyFont="1" applyFill="1" applyBorder="1" applyAlignment="1">
      <alignment horizontal="left" vertical="top" wrapText="1"/>
    </xf>
    <xf numFmtId="165" fontId="96" fillId="4" borderId="1" xfId="0" applyNumberFormat="1" applyFont="1" applyFill="1" applyBorder="1" applyAlignment="1">
      <alignment vertical="top" wrapText="1"/>
    </xf>
    <xf numFmtId="166" fontId="109" fillId="13" borderId="1" xfId="7" applyNumberFormat="1" applyFont="1" applyFill="1" applyBorder="1" applyAlignment="1">
      <alignment horizontal="left" vertical="top" wrapText="1"/>
    </xf>
    <xf numFmtId="1" fontId="96" fillId="4" borderId="1" xfId="0" applyNumberFormat="1" applyFont="1" applyFill="1" applyBorder="1" applyAlignment="1">
      <alignment horizontal="left" vertical="top" wrapText="1"/>
    </xf>
    <xf numFmtId="165" fontId="96" fillId="0" borderId="1" xfId="0" applyNumberFormat="1" applyFont="1" applyBorder="1" applyAlignment="1">
      <alignment horizontal="left" vertical="top" wrapText="1"/>
    </xf>
    <xf numFmtId="0" fontId="96" fillId="0" borderId="1" xfId="6" applyFont="1" applyBorder="1" applyAlignment="1">
      <alignment horizontal="left" vertical="top" wrapText="1"/>
    </xf>
    <xf numFmtId="49" fontId="109" fillId="13" borderId="1" xfId="0" applyNumberFormat="1" applyFont="1" applyFill="1" applyBorder="1" applyAlignment="1">
      <alignment vertical="top" wrapText="1"/>
    </xf>
    <xf numFmtId="166" fontId="96" fillId="5" borderId="0" xfId="0" applyNumberFormat="1" applyFont="1" applyFill="1" applyAlignment="1">
      <alignment horizontal="center" vertical="top" wrapText="1"/>
    </xf>
    <xf numFmtId="0" fontId="109" fillId="9" borderId="0" xfId="4" applyFont="1" applyFill="1" applyAlignment="1">
      <alignment vertical="top" wrapText="1"/>
    </xf>
    <xf numFmtId="0" fontId="111" fillId="4" borderId="0" xfId="4" applyFont="1" applyFill="1" applyAlignment="1">
      <alignment vertical="top" wrapText="1"/>
    </xf>
    <xf numFmtId="166" fontId="111" fillId="4" borderId="0" xfId="4" applyNumberFormat="1" applyFont="1" applyFill="1" applyAlignment="1">
      <alignment horizontal="left" vertical="top" wrapText="1"/>
    </xf>
    <xf numFmtId="0" fontId="109" fillId="4" borderId="0" xfId="4" applyFont="1" applyFill="1" applyAlignment="1">
      <alignment vertical="top" wrapText="1"/>
    </xf>
    <xf numFmtId="0" fontId="96" fillId="4" borderId="0" xfId="4" applyFont="1" applyFill="1" applyAlignment="1">
      <alignment vertical="top" wrapText="1"/>
    </xf>
    <xf numFmtId="0" fontId="96" fillId="0" borderId="0" xfId="0" applyFont="1" applyAlignment="1">
      <alignment vertical="top" wrapText="1"/>
    </xf>
    <xf numFmtId="166" fontId="90" fillId="4" borderId="1" xfId="0" applyNumberFormat="1" applyFont="1" applyFill="1" applyBorder="1" applyAlignment="1">
      <alignment vertical="top" wrapText="1"/>
    </xf>
    <xf numFmtId="166" fontId="91" fillId="19" borderId="1" xfId="1" applyNumberFormat="1" applyFont="1" applyFill="1" applyBorder="1" applyAlignment="1">
      <alignment vertical="top" wrapText="1"/>
    </xf>
    <xf numFmtId="166" fontId="90" fillId="4" borderId="1" xfId="6" applyNumberFormat="1" applyFont="1" applyFill="1" applyBorder="1" applyAlignment="1">
      <alignment vertical="top" wrapText="1"/>
    </xf>
    <xf numFmtId="166" fontId="99" fillId="4" borderId="1" xfId="1" applyNumberFormat="1" applyFont="1" applyFill="1" applyBorder="1" applyAlignment="1">
      <alignment horizontal="right" vertical="top" wrapText="1"/>
    </xf>
    <xf numFmtId="166" fontId="99" fillId="19" borderId="1" xfId="1" applyNumberFormat="1" applyFont="1" applyFill="1" applyBorder="1" applyAlignment="1">
      <alignment horizontal="right" vertical="top" wrapText="1"/>
    </xf>
    <xf numFmtId="166" fontId="95" fillId="19" borderId="1" xfId="0" applyNumberFormat="1" applyFont="1" applyFill="1" applyBorder="1" applyAlignment="1">
      <alignment horizontal="right" vertical="top" wrapText="1"/>
    </xf>
    <xf numFmtId="0" fontId="100" fillId="19" borderId="1" xfId="11" applyFont="1" applyFill="1" applyBorder="1" applyAlignment="1">
      <alignment horizontal="center" vertical="top" wrapText="1"/>
    </xf>
    <xf numFmtId="49" fontId="100" fillId="19" borderId="1" xfId="11" applyNumberFormat="1" applyFont="1" applyFill="1" applyBorder="1" applyAlignment="1">
      <alignment horizontal="center" vertical="top" wrapText="1"/>
    </xf>
    <xf numFmtId="166" fontId="99" fillId="19" borderId="1" xfId="0" applyNumberFormat="1" applyFont="1" applyFill="1" applyBorder="1" applyAlignment="1">
      <alignment horizontal="right" vertical="top" wrapText="1"/>
    </xf>
    <xf numFmtId="166" fontId="94" fillId="19" borderId="1" xfId="0" applyNumberFormat="1" applyFont="1" applyFill="1" applyBorder="1" applyAlignment="1">
      <alignment horizontal="right" vertical="top" wrapText="1"/>
    </xf>
    <xf numFmtId="166" fontId="94" fillId="19" borderId="1" xfId="0" applyNumberFormat="1" applyFont="1" applyFill="1" applyBorder="1" applyAlignment="1">
      <alignment vertical="top" wrapText="1"/>
    </xf>
    <xf numFmtId="49" fontId="97" fillId="19" borderId="1" xfId="0" applyNumberFormat="1" applyFont="1" applyFill="1" applyBorder="1" applyAlignment="1">
      <alignment horizontal="left" vertical="top" wrapText="1"/>
    </xf>
    <xf numFmtId="49" fontId="95" fillId="19" borderId="1" xfId="0" applyNumberFormat="1" applyFont="1" applyFill="1" applyBorder="1" applyAlignment="1">
      <alignment horizontal="left" vertical="top" wrapText="1"/>
    </xf>
    <xf numFmtId="49" fontId="95" fillId="19" borderId="1" xfId="0" applyNumberFormat="1" applyFont="1" applyFill="1" applyBorder="1" applyAlignment="1">
      <alignment vertical="top" wrapText="1"/>
    </xf>
    <xf numFmtId="166" fontId="95" fillId="19" borderId="1" xfId="0" applyNumberFormat="1" applyFont="1" applyFill="1" applyBorder="1" applyAlignment="1">
      <alignment horizontal="center" vertical="top" wrapText="1"/>
    </xf>
    <xf numFmtId="0" fontId="95" fillId="19" borderId="1" xfId="0" applyFont="1" applyFill="1" applyBorder="1" applyAlignment="1">
      <alignment horizontal="left" vertical="top" wrapText="1"/>
    </xf>
    <xf numFmtId="49" fontId="95" fillId="19" borderId="1" xfId="0" applyNumberFormat="1" applyFont="1" applyFill="1" applyBorder="1" applyAlignment="1">
      <alignment horizontal="right" vertical="top" wrapText="1"/>
    </xf>
    <xf numFmtId="166" fontId="93" fillId="19" borderId="1" xfId="0" applyNumberFormat="1" applyFont="1" applyFill="1" applyBorder="1" applyAlignment="1">
      <alignment vertical="top" wrapText="1"/>
    </xf>
    <xf numFmtId="166" fontId="94" fillId="19" borderId="5" xfId="0" applyNumberFormat="1" applyFont="1" applyFill="1" applyBorder="1" applyAlignment="1">
      <alignment vertical="top" wrapText="1"/>
    </xf>
    <xf numFmtId="166" fontId="113" fillId="4" borderId="1" xfId="0" applyNumberFormat="1" applyFont="1" applyFill="1" applyBorder="1" applyAlignment="1">
      <alignment vertical="top" wrapText="1"/>
    </xf>
    <xf numFmtId="49" fontId="86" fillId="4" borderId="4" xfId="0" applyNumberFormat="1" applyFont="1" applyFill="1" applyBorder="1" applyAlignment="1">
      <alignment horizontal="right" vertical="top" wrapText="1"/>
    </xf>
    <xf numFmtId="49" fontId="71" fillId="4" borderId="4" xfId="0" applyNumberFormat="1" applyFont="1" applyFill="1" applyBorder="1" applyAlignment="1">
      <alignment horizontal="right" vertical="top" wrapText="1"/>
    </xf>
    <xf numFmtId="166" fontId="114" fillId="0" borderId="4" xfId="0" applyNumberFormat="1" applyFont="1" applyBorder="1" applyAlignment="1">
      <alignment horizontal="right" vertical="top" wrapText="1"/>
    </xf>
    <xf numFmtId="166" fontId="114" fillId="8" borderId="0" xfId="0" applyNumberFormat="1" applyFont="1" applyFill="1" applyAlignment="1">
      <alignment horizontal="left" vertical="top" wrapText="1"/>
    </xf>
    <xf numFmtId="166" fontId="114" fillId="8" borderId="0" xfId="0" applyNumberFormat="1" applyFont="1" applyFill="1" applyAlignment="1">
      <alignment horizontal="right" vertical="top" wrapText="1"/>
    </xf>
    <xf numFmtId="0" fontId="115" fillId="0" borderId="0" xfId="0" applyFont="1" applyAlignment="1">
      <alignment horizontal="left" vertical="top" wrapText="1"/>
    </xf>
    <xf numFmtId="166" fontId="116" fillId="5" borderId="1" xfId="0" applyNumberFormat="1" applyFont="1" applyFill="1" applyBorder="1" applyAlignment="1">
      <alignment horizontal="right" vertical="top" wrapText="1"/>
    </xf>
    <xf numFmtId="166" fontId="117" fillId="5" borderId="0" xfId="0" applyNumberFormat="1" applyFont="1" applyFill="1" applyAlignment="1">
      <alignment horizontal="center" vertical="top" wrapText="1"/>
    </xf>
    <xf numFmtId="49" fontId="117" fillId="5" borderId="0" xfId="0" applyNumberFormat="1" applyFont="1" applyFill="1" applyAlignment="1">
      <alignment horizontal="right" vertical="top" wrapText="1"/>
    </xf>
    <xf numFmtId="0" fontId="118" fillId="0" borderId="0" xfId="0" applyFont="1" applyAlignment="1">
      <alignment wrapText="1"/>
    </xf>
    <xf numFmtId="166" fontId="119" fillId="4" borderId="1" xfId="0" applyNumberFormat="1" applyFont="1" applyFill="1" applyBorder="1" applyAlignment="1">
      <alignment vertical="top" wrapText="1"/>
    </xf>
    <xf numFmtId="166" fontId="95" fillId="4" borderId="0" xfId="4" applyNumberFormat="1" applyFont="1" applyFill="1" applyAlignment="1">
      <alignment horizontal="center" vertical="top" wrapText="1"/>
    </xf>
    <xf numFmtId="166" fontId="114" fillId="4" borderId="1" xfId="0" applyNumberFormat="1" applyFont="1" applyFill="1" applyBorder="1" applyAlignment="1">
      <alignment horizontal="right" vertical="top" wrapText="1"/>
    </xf>
    <xf numFmtId="166" fontId="103" fillId="4" borderId="0" xfId="0" applyNumberFormat="1" applyFont="1" applyFill="1" applyAlignment="1">
      <alignment horizontal="left" vertical="top" wrapText="1"/>
    </xf>
    <xf numFmtId="166" fontId="16" fillId="4" borderId="0" xfId="0" applyNumberFormat="1" applyFont="1" applyFill="1" applyAlignment="1">
      <alignment horizontal="center" vertical="top" wrapText="1"/>
    </xf>
    <xf numFmtId="0" fontId="121" fillId="9" borderId="0" xfId="4" applyFont="1" applyFill="1" applyAlignment="1">
      <alignment horizontal="center" vertical="top" wrapText="1"/>
    </xf>
    <xf numFmtId="0" fontId="122" fillId="4" borderId="0" xfId="4" applyFont="1" applyFill="1" applyAlignment="1">
      <alignment horizontal="center" vertical="top" wrapText="1"/>
    </xf>
    <xf numFmtId="0" fontId="121" fillId="4" borderId="0" xfId="4" applyFont="1" applyFill="1" applyAlignment="1">
      <alignment horizontal="center" vertical="top" wrapText="1"/>
    </xf>
    <xf numFmtId="0" fontId="16" fillId="0" borderId="0" xfId="4" applyFont="1" applyAlignment="1">
      <alignment horizontal="center" vertical="top" wrapText="1"/>
    </xf>
    <xf numFmtId="166" fontId="114" fillId="0" borderId="1" xfId="4" applyNumberFormat="1" applyFont="1" applyBorder="1" applyAlignment="1">
      <alignment vertical="top" wrapText="1"/>
    </xf>
    <xf numFmtId="166" fontId="114" fillId="4" borderId="0" xfId="4" applyNumberFormat="1" applyFont="1" applyFill="1" applyAlignment="1">
      <alignment horizontal="center" vertical="top" wrapText="1"/>
    </xf>
    <xf numFmtId="166" fontId="114" fillId="4" borderId="0" xfId="4" applyNumberFormat="1" applyFont="1" applyFill="1" applyAlignment="1">
      <alignment horizontal="right" vertical="top" wrapText="1"/>
    </xf>
    <xf numFmtId="0" fontId="115" fillId="0" borderId="0" xfId="0" applyFont="1" applyAlignment="1">
      <alignment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96" fillId="4" borderId="1" xfId="6" applyNumberFormat="1" applyFont="1" applyFill="1" applyBorder="1" applyAlignment="1">
      <alignment horizontal="center" vertical="top" wrapText="1"/>
    </xf>
    <xf numFmtId="49" fontId="92" fillId="4" borderId="1" xfId="6" applyNumberFormat="1" applyFont="1" applyFill="1" applyBorder="1" applyAlignment="1">
      <alignment horizontal="center" vertical="top" wrapText="1"/>
    </xf>
    <xf numFmtId="0" fontId="99" fillId="19" borderId="1" xfId="0" applyFont="1" applyFill="1" applyBorder="1" applyAlignment="1">
      <alignment vertical="top" wrapText="1"/>
    </xf>
    <xf numFmtId="166" fontId="94" fillId="21" borderId="5" xfId="0" applyNumberFormat="1" applyFont="1" applyFill="1" applyBorder="1" applyAlignment="1">
      <alignment vertical="top" wrapText="1"/>
    </xf>
    <xf numFmtId="166" fontId="95" fillId="4" borderId="5" xfId="0" applyNumberFormat="1" applyFont="1" applyFill="1" applyBorder="1" applyAlignment="1">
      <alignment vertical="top" wrapText="1"/>
    </xf>
    <xf numFmtId="166" fontId="94" fillId="4" borderId="5" xfId="0" applyNumberFormat="1" applyFont="1" applyFill="1" applyBorder="1" applyAlignment="1">
      <alignment vertical="top" wrapText="1"/>
    </xf>
    <xf numFmtId="49" fontId="61" fillId="4" borderId="0" xfId="0" applyNumberFormat="1" applyFont="1" applyFill="1" applyAlignment="1">
      <alignment horizontal="center" vertical="top" wrapText="1"/>
    </xf>
    <xf numFmtId="0" fontId="55" fillId="4" borderId="1" xfId="11" applyFont="1" applyFill="1" applyBorder="1" applyAlignment="1">
      <alignment horizontal="center" vertical="top" wrapText="1"/>
    </xf>
    <xf numFmtId="0" fontId="92" fillId="4" borderId="1" xfId="11" applyFont="1" applyFill="1" applyBorder="1" applyAlignment="1">
      <alignment horizontal="center" vertical="top" wrapText="1"/>
    </xf>
    <xf numFmtId="49" fontId="82" fillId="13" borderId="1" xfId="0" applyNumberFormat="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49" fontId="82" fillId="13" borderId="1" xfId="7" applyNumberFormat="1" applyFont="1" applyFill="1" applyBorder="1" applyAlignment="1">
      <alignment horizontal="center" vertical="top" wrapText="1"/>
    </xf>
    <xf numFmtId="49" fontId="55" fillId="4" borderId="1" xfId="6" applyNumberFormat="1" applyFont="1" applyFill="1" applyBorder="1" applyAlignment="1">
      <alignment horizontal="center" vertical="top" wrapText="1"/>
    </xf>
    <xf numFmtId="49" fontId="56" fillId="5" borderId="0" xfId="0" applyNumberFormat="1" applyFont="1" applyFill="1" applyAlignment="1">
      <alignment horizontal="center" vertical="top" wrapText="1"/>
    </xf>
    <xf numFmtId="49" fontId="117" fillId="5" borderId="0" xfId="0" applyNumberFormat="1" applyFont="1" applyFill="1" applyAlignment="1">
      <alignment horizontal="center" vertical="top" wrapText="1"/>
    </xf>
    <xf numFmtId="49" fontId="61" fillId="9" borderId="0" xfId="4" applyNumberFormat="1" applyFont="1" applyFill="1" applyAlignment="1">
      <alignment horizontal="center" vertical="top" wrapText="1"/>
    </xf>
    <xf numFmtId="49" fontId="63" fillId="4" borderId="0" xfId="4" applyNumberFormat="1" applyFont="1" applyFill="1" applyAlignment="1">
      <alignment horizontal="center" vertical="top" wrapText="1"/>
    </xf>
    <xf numFmtId="49" fontId="61" fillId="4" borderId="0" xfId="4" applyNumberFormat="1" applyFont="1" applyFill="1" applyAlignment="1">
      <alignment horizontal="center" vertical="top" wrapText="1"/>
    </xf>
    <xf numFmtId="49" fontId="56" fillId="4" borderId="0" xfId="4" applyNumberFormat="1" applyFont="1" applyFill="1" applyAlignment="1">
      <alignment horizontal="center" vertical="top" wrapText="1"/>
    </xf>
    <xf numFmtId="49" fontId="56" fillId="0" borderId="0" xfId="0" applyNumberFormat="1" applyFont="1" applyAlignment="1">
      <alignment horizontal="center" vertical="top" wrapText="1"/>
    </xf>
    <xf numFmtId="166" fontId="20" fillId="22" borderId="1" xfId="0" applyNumberFormat="1" applyFont="1" applyFill="1" applyBorder="1" applyAlignment="1">
      <alignment vertical="top" wrapText="1"/>
    </xf>
    <xf numFmtId="166" fontId="94" fillId="22" borderId="1" xfId="0" applyNumberFormat="1" applyFont="1" applyFill="1" applyBorder="1" applyAlignment="1">
      <alignment vertical="top" wrapText="1"/>
    </xf>
    <xf numFmtId="49" fontId="10" fillId="4" borderId="2" xfId="6" applyNumberFormat="1" applyFont="1" applyFill="1" applyBorder="1" applyAlignment="1">
      <alignment vertical="top" wrapText="1"/>
    </xf>
    <xf numFmtId="49" fontId="1" fillId="4" borderId="2" xfId="6" applyNumberFormat="1" applyFill="1" applyBorder="1" applyAlignment="1">
      <alignment vertical="top" wrapText="1"/>
    </xf>
    <xf numFmtId="0" fontId="55" fillId="4" borderId="2" xfId="6" applyFont="1" applyFill="1" applyBorder="1" applyAlignment="1">
      <alignment vertical="top" wrapText="1"/>
    </xf>
    <xf numFmtId="49" fontId="56" fillId="4" borderId="1" xfId="6" applyNumberFormat="1" applyFont="1" applyFill="1" applyBorder="1" applyAlignment="1">
      <alignment vertical="top" wrapText="1"/>
    </xf>
    <xf numFmtId="0" fontId="96" fillId="4" borderId="2" xfId="6" applyFont="1" applyFill="1" applyBorder="1" applyAlignment="1">
      <alignment vertical="top" wrapText="1"/>
    </xf>
    <xf numFmtId="0" fontId="72" fillId="13" borderId="1" xfId="0" applyFont="1" applyFill="1" applyBorder="1" applyAlignment="1">
      <alignment horizontal="center" vertical="top" wrapText="1"/>
    </xf>
    <xf numFmtId="0" fontId="123" fillId="19" borderId="1" xfId="0" applyFont="1" applyFill="1" applyBorder="1" applyAlignment="1">
      <alignment horizontal="center" vertical="top" wrapText="1"/>
    </xf>
    <xf numFmtId="49" fontId="124" fillId="0" borderId="1" xfId="0" applyNumberFormat="1" applyFont="1" applyBorder="1" applyAlignment="1">
      <alignment horizontal="center" vertical="top" wrapText="1"/>
    </xf>
    <xf numFmtId="49" fontId="124" fillId="0" borderId="1" xfId="0" applyNumberFormat="1" applyFont="1" applyBorder="1" applyAlignment="1">
      <alignment horizontal="left" vertical="top" wrapText="1"/>
    </xf>
    <xf numFmtId="166" fontId="15" fillId="4" borderId="1" xfId="0" applyNumberFormat="1" applyFont="1" applyFill="1" applyBorder="1" applyAlignment="1">
      <alignment vertical="top" wrapText="1"/>
    </xf>
    <xf numFmtId="0" fontId="126" fillId="13" borderId="1" xfId="0" applyFont="1" applyFill="1" applyBorder="1" applyAlignment="1">
      <alignment vertical="top" wrapText="1"/>
    </xf>
    <xf numFmtId="166" fontId="126" fillId="13" borderId="1" xfId="0" applyNumberFormat="1" applyFont="1" applyFill="1" applyBorder="1" applyAlignment="1">
      <alignment vertical="top" wrapText="1"/>
    </xf>
    <xf numFmtId="166" fontId="124" fillId="20" borderId="1" xfId="0" applyNumberFormat="1" applyFont="1" applyFill="1" applyBorder="1" applyAlignment="1">
      <alignment vertical="top" wrapText="1"/>
    </xf>
    <xf numFmtId="0" fontId="20" fillId="4" borderId="1" xfId="6" applyFont="1" applyFill="1" applyBorder="1" applyAlignment="1">
      <alignment horizontal="right"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7" fillId="16" borderId="1" xfId="0" applyFont="1" applyFill="1" applyBorder="1" applyAlignment="1">
      <alignment horizontal="center" vertical="center" wrapText="1"/>
    </xf>
    <xf numFmtId="0" fontId="12" fillId="16" borderId="2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4" xfId="0" applyFont="1" applyFill="1" applyBorder="1" applyAlignment="1">
      <alignment horizontal="center" vertical="center" wrapText="1"/>
    </xf>
    <xf numFmtId="166" fontId="20" fillId="4" borderId="2" xfId="0" applyNumberFormat="1" applyFont="1" applyFill="1" applyBorder="1" applyAlignment="1">
      <alignment horizontal="right" vertical="top"/>
    </xf>
    <xf numFmtId="166" fontId="20" fillId="4" borderId="6" xfId="0" applyNumberFormat="1" applyFont="1" applyFill="1" applyBorder="1" applyAlignment="1">
      <alignment horizontal="right" vertical="top"/>
    </xf>
    <xf numFmtId="166" fontId="20" fillId="4" borderId="4" xfId="0" applyNumberFormat="1" applyFont="1" applyFill="1" applyBorder="1" applyAlignment="1">
      <alignment horizontal="right" vertical="top"/>
    </xf>
    <xf numFmtId="0" fontId="84" fillId="4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49" fontId="1" fillId="0" borderId="2" xfId="6" applyNumberFormat="1" applyBorder="1" applyAlignment="1">
      <alignment horizontal="center" vertical="top" wrapText="1"/>
    </xf>
    <xf numFmtId="49" fontId="1" fillId="0" borderId="4" xfId="6" applyNumberFormat="1" applyBorder="1" applyAlignment="1">
      <alignment horizontal="center" vertical="top" wrapText="1"/>
    </xf>
    <xf numFmtId="49" fontId="20" fillId="4" borderId="2" xfId="6" applyNumberFormat="1" applyFont="1" applyFill="1" applyBorder="1" applyAlignment="1">
      <alignment horizontal="lef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0" fontId="20" fillId="0" borderId="2" xfId="6" applyFont="1" applyBorder="1" applyAlignment="1">
      <alignment horizontal="left" vertical="top" wrapText="1"/>
    </xf>
    <xf numFmtId="0" fontId="20" fillId="0" borderId="4" xfId="6" applyFont="1" applyBorder="1" applyAlignment="1">
      <alignment horizontal="left" vertical="top" wrapText="1"/>
    </xf>
    <xf numFmtId="49" fontId="3" fillId="16" borderId="2" xfId="0" applyNumberFormat="1" applyFont="1" applyFill="1" applyBorder="1" applyAlignment="1">
      <alignment horizontal="center" vertical="center" wrapText="1"/>
    </xf>
    <xf numFmtId="49" fontId="3" fillId="16" borderId="6" xfId="0" applyNumberFormat="1" applyFont="1" applyFill="1" applyBorder="1" applyAlignment="1">
      <alignment horizontal="center" vertical="center" wrapText="1"/>
    </xf>
    <xf numFmtId="49" fontId="3" fillId="16" borderId="4" xfId="0" applyNumberFormat="1" applyFont="1" applyFill="1" applyBorder="1" applyAlignment="1">
      <alignment horizontal="center" vertical="center" wrapText="1"/>
    </xf>
    <xf numFmtId="49" fontId="1" fillId="0" borderId="15" xfId="6" applyNumberFormat="1" applyBorder="1" applyAlignment="1">
      <alignment horizontal="left" vertical="top" wrapText="1"/>
    </xf>
    <xf numFmtId="49" fontId="1" fillId="0" borderId="13" xfId="6" applyNumberFormat="1" applyBorder="1" applyAlignment="1">
      <alignment horizontal="left" vertical="top" wrapText="1"/>
    </xf>
    <xf numFmtId="0" fontId="20" fillId="0" borderId="6" xfId="6" applyFont="1" applyBorder="1" applyAlignment="1">
      <alignment horizontal="left" vertical="top" wrapText="1"/>
    </xf>
    <xf numFmtId="49" fontId="12" fillId="16" borderId="15" xfId="0" applyNumberFormat="1" applyFont="1" applyFill="1" applyBorder="1" applyAlignment="1">
      <alignment horizontal="center" vertical="center" wrapText="1"/>
    </xf>
    <xf numFmtId="49" fontId="12" fillId="16" borderId="9" xfId="0" applyNumberFormat="1" applyFont="1" applyFill="1" applyBorder="1" applyAlignment="1">
      <alignment horizontal="center" vertical="center" wrapText="1"/>
    </xf>
    <xf numFmtId="49" fontId="12" fillId="16" borderId="13" xfId="0" applyNumberFormat="1" applyFont="1" applyFill="1" applyBorder="1" applyAlignment="1">
      <alignment horizontal="center" vertical="center" wrapText="1"/>
    </xf>
    <xf numFmtId="0" fontId="72" fillId="13" borderId="4" xfId="6" applyFont="1" applyFill="1" applyBorder="1" applyAlignment="1">
      <alignment horizontal="left" vertical="top" wrapText="1"/>
    </xf>
    <xf numFmtId="49" fontId="12" fillId="16" borderId="3" xfId="0" applyNumberFormat="1" applyFont="1" applyFill="1" applyBorder="1" applyAlignment="1">
      <alignment horizontal="center" vertical="center" wrapText="1"/>
    </xf>
    <xf numFmtId="49" fontId="12" fillId="16" borderId="12" xfId="0" applyNumberFormat="1" applyFont="1" applyFill="1" applyBorder="1" applyAlignment="1">
      <alignment horizontal="center" vertical="center" wrapText="1"/>
    </xf>
    <xf numFmtId="49" fontId="12" fillId="16" borderId="5" xfId="0" applyNumberFormat="1" applyFont="1" applyFill="1" applyBorder="1" applyAlignment="1">
      <alignment horizontal="center" vertical="center" wrapText="1"/>
    </xf>
    <xf numFmtId="49" fontId="12" fillId="16" borderId="2" xfId="0" applyNumberFormat="1" applyFont="1" applyFill="1" applyBorder="1" applyAlignment="1">
      <alignment horizontal="center" vertical="center" textRotation="90" wrapText="1"/>
    </xf>
    <xf numFmtId="49" fontId="12" fillId="16" borderId="4" xfId="0" applyNumberFormat="1" applyFont="1" applyFill="1" applyBorder="1" applyAlignment="1">
      <alignment horizontal="center" vertical="center" textRotation="90" wrapText="1"/>
    </xf>
    <xf numFmtId="49" fontId="3" fillId="2" borderId="1" xfId="6" applyNumberFormat="1" applyFont="1" applyFill="1" applyBorder="1" applyAlignment="1">
      <alignment horizontal="right" vertical="top" wrapText="1"/>
    </xf>
    <xf numFmtId="49" fontId="72" fillId="13" borderId="1" xfId="6" applyNumberFormat="1" applyFont="1" applyFill="1" applyBorder="1" applyAlignment="1">
      <alignment horizontal="right" vertical="top" wrapText="1"/>
    </xf>
    <xf numFmtId="49" fontId="1" fillId="0" borderId="2" xfId="6" applyNumberFormat="1" applyBorder="1" applyAlignment="1">
      <alignment horizontal="left" vertical="top" wrapText="1"/>
    </xf>
    <xf numFmtId="49" fontId="1" fillId="0" borderId="4" xfId="6" applyNumberFormat="1" applyBorder="1" applyAlignment="1">
      <alignment horizontal="left" vertical="top" wrapText="1"/>
    </xf>
    <xf numFmtId="49" fontId="1" fillId="4" borderId="1" xfId="6" applyNumberForma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0" borderId="1" xfId="6" applyNumberFormat="1" applyFont="1" applyBorder="1" applyAlignment="1">
      <alignment horizontal="left" vertical="top" wrapText="1"/>
    </xf>
    <xf numFmtId="49" fontId="119" fillId="4" borderId="1" xfId="6" applyNumberFormat="1" applyFont="1" applyFill="1" applyBorder="1" applyAlignment="1">
      <alignment horizontal="left" vertical="top" wrapText="1"/>
    </xf>
    <xf numFmtId="0" fontId="20" fillId="4" borderId="1" xfId="6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right"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0" fontId="19" fillId="4" borderId="1" xfId="0" applyFont="1" applyFill="1" applyBorder="1" applyAlignment="1">
      <alignment horizontal="lef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0" fontId="112" fillId="19" borderId="2" xfId="0" applyFont="1" applyFill="1" applyBorder="1" applyAlignment="1">
      <alignment horizontal="center" vertical="center" wrapText="1"/>
    </xf>
    <xf numFmtId="0" fontId="112" fillId="19" borderId="6" xfId="0" applyFont="1" applyFill="1" applyBorder="1" applyAlignment="1">
      <alignment horizontal="center" vertical="center" wrapText="1"/>
    </xf>
    <xf numFmtId="0" fontId="112" fillId="19" borderId="4" xfId="0" applyFont="1" applyFill="1" applyBorder="1" applyAlignment="1">
      <alignment horizontal="center" vertical="center" wrapText="1"/>
    </xf>
    <xf numFmtId="0" fontId="120" fillId="19" borderId="2" xfId="0" applyFont="1" applyFill="1" applyBorder="1" applyAlignment="1">
      <alignment horizontal="center" vertical="center" wrapText="1"/>
    </xf>
    <xf numFmtId="0" fontId="120" fillId="19" borderId="6" xfId="0" applyFont="1" applyFill="1" applyBorder="1" applyAlignment="1">
      <alignment horizontal="center" vertical="center" wrapText="1"/>
    </xf>
    <xf numFmtId="0" fontId="120" fillId="19" borderId="4" xfId="0" applyFont="1" applyFill="1" applyBorder="1" applyAlignment="1">
      <alignment horizontal="center" vertical="center" wrapText="1"/>
    </xf>
    <xf numFmtId="49" fontId="80" fillId="13" borderId="3" xfId="0" applyNumberFormat="1" applyFont="1" applyFill="1" applyBorder="1" applyAlignment="1">
      <alignment horizontal="right" vertical="top" wrapText="1"/>
    </xf>
    <xf numFmtId="49" fontId="80" fillId="13" borderId="5" xfId="0" applyNumberFormat="1" applyFont="1" applyFill="1" applyBorder="1" applyAlignment="1">
      <alignment horizontal="right" vertical="top" wrapText="1"/>
    </xf>
    <xf numFmtId="49" fontId="10" fillId="10" borderId="2" xfId="0" applyNumberFormat="1" applyFont="1" applyFill="1" applyBorder="1" applyAlignment="1">
      <alignment horizontal="right" vertical="top"/>
    </xf>
    <xf numFmtId="49" fontId="10" fillId="10" borderId="4" xfId="0" applyNumberFormat="1" applyFont="1" applyFill="1" applyBorder="1" applyAlignment="1">
      <alignment horizontal="right" vertical="top"/>
    </xf>
    <xf numFmtId="166" fontId="10" fillId="4" borderId="2" xfId="0" applyNumberFormat="1" applyFont="1" applyFill="1" applyBorder="1" applyAlignment="1">
      <alignment horizontal="center" vertical="top"/>
    </xf>
    <xf numFmtId="166" fontId="10" fillId="4" borderId="6" xfId="0" applyNumberFormat="1" applyFont="1" applyFill="1" applyBorder="1" applyAlignment="1">
      <alignment horizontal="center" vertical="top"/>
    </xf>
    <xf numFmtId="166" fontId="10" fillId="4" borderId="4" xfId="0" applyNumberFormat="1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49" fontId="12" fillId="16" borderId="2" xfId="0" applyNumberFormat="1" applyFont="1" applyFill="1" applyBorder="1" applyAlignment="1">
      <alignment horizontal="center" vertical="center" wrapText="1"/>
    </xf>
    <xf numFmtId="49" fontId="12" fillId="16" borderId="6" xfId="0" applyNumberFormat="1" applyFont="1" applyFill="1" applyBorder="1" applyAlignment="1">
      <alignment horizontal="center" vertical="center" wrapText="1"/>
    </xf>
    <xf numFmtId="49" fontId="12" fillId="16" borderId="4" xfId="0" applyNumberFormat="1" applyFont="1" applyFill="1" applyBorder="1" applyAlignment="1">
      <alignment horizontal="center" vertical="center" wrapText="1"/>
    </xf>
    <xf numFmtId="49" fontId="6" fillId="16" borderId="3" xfId="0" applyNumberFormat="1" applyFont="1" applyFill="1" applyBorder="1" applyAlignment="1">
      <alignment horizontal="center" vertical="center" wrapText="1"/>
    </xf>
    <xf numFmtId="49" fontId="6" fillId="16" borderId="12" xfId="0" applyNumberFormat="1" applyFont="1" applyFill="1" applyBorder="1" applyAlignment="1">
      <alignment horizontal="center" vertical="center" wrapText="1"/>
    </xf>
    <xf numFmtId="49" fontId="6" fillId="16" borderId="5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right" vertical="top" wrapText="1"/>
    </xf>
    <xf numFmtId="49" fontId="10" fillId="4" borderId="4" xfId="0" applyNumberFormat="1" applyFont="1" applyFill="1" applyBorder="1" applyAlignment="1">
      <alignment horizontal="righ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49" fontId="6" fillId="16" borderId="15" xfId="0" applyNumberFormat="1" applyFont="1" applyFill="1" applyBorder="1" applyAlignment="1">
      <alignment horizontal="center" vertical="center" wrapText="1"/>
    </xf>
    <xf numFmtId="49" fontId="6" fillId="16" borderId="9" xfId="0" applyNumberFormat="1" applyFont="1" applyFill="1" applyBorder="1" applyAlignment="1">
      <alignment horizontal="center" vertical="center" wrapText="1"/>
    </xf>
    <xf numFmtId="49" fontId="6" fillId="16" borderId="13" xfId="0" applyNumberFormat="1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166" fontId="48" fillId="4" borderId="2" xfId="0" applyNumberFormat="1" applyFont="1" applyFill="1" applyBorder="1" applyAlignment="1">
      <alignment horizontal="right" vertical="top" wrapText="1"/>
    </xf>
    <xf numFmtId="166" fontId="48" fillId="4" borderId="6" xfId="0" applyNumberFormat="1" applyFont="1" applyFill="1" applyBorder="1" applyAlignment="1">
      <alignment horizontal="right" vertical="top" wrapText="1"/>
    </xf>
    <xf numFmtId="166" fontId="48" fillId="4" borderId="4" xfId="0" applyNumberFormat="1" applyFont="1" applyFill="1" applyBorder="1" applyAlignment="1">
      <alignment horizontal="right" vertical="top" wrapText="1"/>
    </xf>
    <xf numFmtId="3" fontId="10" fillId="4" borderId="2" xfId="0" applyNumberFormat="1" applyFont="1" applyFill="1" applyBorder="1" applyAlignment="1">
      <alignment horizontal="right" vertical="top" wrapText="1"/>
    </xf>
    <xf numFmtId="3" fontId="10" fillId="4" borderId="6" xfId="0" applyNumberFormat="1" applyFont="1" applyFill="1" applyBorder="1" applyAlignment="1">
      <alignment horizontal="right" vertical="top" wrapText="1"/>
    </xf>
    <xf numFmtId="3" fontId="10" fillId="4" borderId="4" xfId="0" applyNumberFormat="1" applyFont="1" applyFill="1" applyBorder="1" applyAlignment="1">
      <alignment horizontal="right" vertical="top" wrapText="1"/>
    </xf>
    <xf numFmtId="0" fontId="10" fillId="4" borderId="2" xfId="0" applyFont="1" applyFill="1" applyBorder="1" applyAlignment="1">
      <alignment horizontal="right" vertical="top" wrapText="1"/>
    </xf>
    <xf numFmtId="0" fontId="10" fillId="4" borderId="4" xfId="0" applyFont="1" applyFill="1" applyBorder="1" applyAlignment="1">
      <alignment horizontal="right" vertical="top" wrapText="1"/>
    </xf>
    <xf numFmtId="49" fontId="90" fillId="4" borderId="2" xfId="11" applyNumberFormat="1" applyFont="1" applyFill="1" applyBorder="1" applyAlignment="1">
      <alignment horizontal="right" vertical="top" wrapText="1"/>
    </xf>
    <xf numFmtId="49" fontId="90" fillId="4" borderId="4" xfId="11" applyNumberFormat="1" applyFont="1" applyFill="1" applyBorder="1" applyAlignment="1">
      <alignment horizontal="right" vertical="top" wrapText="1"/>
    </xf>
    <xf numFmtId="49" fontId="44" fillId="4" borderId="2" xfId="11" applyNumberFormat="1" applyFont="1" applyFill="1" applyBorder="1" applyAlignment="1">
      <alignment horizontal="right" vertical="top" wrapText="1"/>
    </xf>
    <xf numFmtId="49" fontId="44" fillId="4" borderId="4" xfId="11" applyNumberFormat="1" applyFont="1" applyFill="1" applyBorder="1" applyAlignment="1">
      <alignment horizontal="right" vertical="top" wrapText="1"/>
    </xf>
    <xf numFmtId="0" fontId="10" fillId="0" borderId="2" xfId="11" applyFont="1" applyBorder="1" applyAlignment="1">
      <alignment horizontal="left" vertical="top" wrapText="1"/>
    </xf>
    <xf numFmtId="0" fontId="10" fillId="0" borderId="4" xfId="11" applyFont="1" applyBorder="1" applyAlignment="1">
      <alignment horizontal="left" vertical="top" wrapText="1"/>
    </xf>
    <xf numFmtId="49" fontId="6" fillId="16" borderId="2" xfId="0" applyNumberFormat="1" applyFont="1" applyFill="1" applyBorder="1" applyAlignment="1">
      <alignment horizontal="center" vertical="center" wrapText="1"/>
    </xf>
    <xf numFmtId="49" fontId="6" fillId="16" borderId="4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horizontal="right" vertical="top" wrapText="1"/>
    </xf>
    <xf numFmtId="49" fontId="10" fillId="4" borderId="2" xfId="11" applyNumberFormat="1" applyFont="1" applyFill="1" applyBorder="1" applyAlignment="1">
      <alignment horizontal="right" vertical="top" wrapText="1"/>
    </xf>
    <xf numFmtId="49" fontId="10" fillId="4" borderId="4" xfId="11" applyNumberFormat="1" applyFont="1" applyFill="1" applyBorder="1" applyAlignment="1">
      <alignment horizontal="right" vertical="top" wrapText="1"/>
    </xf>
    <xf numFmtId="49" fontId="1" fillId="4" borderId="2" xfId="11" applyNumberFormat="1" applyFont="1" applyFill="1" applyBorder="1" applyAlignment="1">
      <alignment horizontal="left" vertical="center" textRotation="90" wrapText="1"/>
    </xf>
    <xf numFmtId="49" fontId="1" fillId="4" borderId="4" xfId="11" applyNumberFormat="1" applyFont="1" applyFill="1" applyBorder="1" applyAlignment="1">
      <alignment horizontal="left" vertical="center" textRotation="90" wrapText="1"/>
    </xf>
    <xf numFmtId="49" fontId="10" fillId="0" borderId="0" xfId="0" applyNumberFormat="1" applyFont="1" applyAlignment="1">
      <alignment horizontal="left" wrapText="1"/>
    </xf>
    <xf numFmtId="0" fontId="64" fillId="4" borderId="0" xfId="0" applyFont="1" applyFill="1" applyAlignment="1">
      <alignment horizontal="center"/>
    </xf>
    <xf numFmtId="0" fontId="44" fillId="4" borderId="2" xfId="1" applyFont="1" applyFill="1" applyBorder="1" applyAlignment="1">
      <alignment horizontal="center" vertical="top" wrapText="1"/>
    </xf>
    <xf numFmtId="0" fontId="44" fillId="4" borderId="4" xfId="1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right" vertical="top" wrapText="1"/>
    </xf>
    <xf numFmtId="0" fontId="69" fillId="4" borderId="0" xfId="0" applyFont="1" applyFill="1" applyAlignment="1">
      <alignment horizontal="center"/>
    </xf>
    <xf numFmtId="0" fontId="44" fillId="4" borderId="2" xfId="11" applyFont="1" applyFill="1" applyBorder="1" applyAlignment="1">
      <alignment horizontal="right" vertical="top" wrapText="1"/>
    </xf>
    <xf numFmtId="0" fontId="44" fillId="4" borderId="6" xfId="11" applyFont="1" applyFill="1" applyBorder="1" applyAlignment="1">
      <alignment horizontal="right" vertical="top" wrapText="1"/>
    </xf>
    <xf numFmtId="0" fontId="44" fillId="4" borderId="4" xfId="11" applyFont="1" applyFill="1" applyBorder="1" applyAlignment="1">
      <alignment horizontal="right" vertical="top" wrapText="1"/>
    </xf>
    <xf numFmtId="49" fontId="44" fillId="4" borderId="1" xfId="0" applyNumberFormat="1" applyFont="1" applyFill="1" applyBorder="1" applyAlignment="1">
      <alignment horizontal="right" vertical="top" wrapText="1"/>
    </xf>
    <xf numFmtId="49" fontId="44" fillId="4" borderId="2" xfId="0" applyNumberFormat="1" applyFont="1" applyFill="1" applyBorder="1" applyAlignment="1">
      <alignment horizontal="right" vertical="top" wrapText="1"/>
    </xf>
    <xf numFmtId="49" fontId="44" fillId="4" borderId="4" xfId="0" applyNumberFormat="1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44" fillId="4" borderId="1" xfId="0" applyFont="1" applyFill="1" applyBorder="1" applyAlignment="1">
      <alignment horizontal="right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0" fillId="12" borderId="1" xfId="0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6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0" fillId="4" borderId="2" xfId="11" applyFont="1" applyFill="1" applyBorder="1" applyAlignment="1">
      <alignment horizontal="left" vertical="top" wrapText="1"/>
    </xf>
    <xf numFmtId="0" fontId="10" fillId="4" borderId="4" xfId="11" applyFont="1" applyFill="1" applyBorder="1" applyAlignment="1">
      <alignment horizontal="left" vertical="top" wrapText="1"/>
    </xf>
    <xf numFmtId="49" fontId="10" fillId="4" borderId="2" xfId="11" applyNumberFormat="1" applyFont="1" applyFill="1" applyBorder="1" applyAlignment="1">
      <alignment horizontal="left" vertical="center" textRotation="90" wrapText="1"/>
    </xf>
    <xf numFmtId="49" fontId="10" fillId="4" borderId="4" xfId="11" applyNumberFormat="1" applyFont="1" applyFill="1" applyBorder="1" applyAlignment="1">
      <alignment horizontal="left" vertical="center" textRotation="90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12" fillId="19" borderId="2" xfId="0" applyNumberFormat="1" applyFont="1" applyFill="1" applyBorder="1" applyAlignment="1">
      <alignment horizontal="center" vertical="center" wrapText="1"/>
    </xf>
    <xf numFmtId="49" fontId="112" fillId="19" borderId="4" xfId="0" applyNumberFormat="1" applyFont="1" applyFill="1" applyBorder="1" applyAlignment="1">
      <alignment horizontal="center" vertical="center" wrapText="1"/>
    </xf>
    <xf numFmtId="0" fontId="95" fillId="4" borderId="2" xfId="11" applyFont="1" applyFill="1" applyBorder="1" applyAlignment="1">
      <alignment horizontal="left" vertical="top" wrapText="1"/>
    </xf>
    <xf numFmtId="0" fontId="95" fillId="4" borderId="6" xfId="11" applyFont="1" applyFill="1" applyBorder="1" applyAlignment="1">
      <alignment horizontal="left" vertical="top" wrapText="1"/>
    </xf>
    <xf numFmtId="0" fontId="95" fillId="4" borderId="4" xfId="11" applyFont="1" applyFill="1" applyBorder="1" applyAlignment="1">
      <alignment horizontal="left" vertical="top" wrapText="1"/>
    </xf>
    <xf numFmtId="0" fontId="95" fillId="4" borderId="2" xfId="0" applyFont="1" applyFill="1" applyBorder="1" applyAlignment="1">
      <alignment horizontal="left" vertical="top" wrapText="1"/>
    </xf>
    <xf numFmtId="0" fontId="95" fillId="4" borderId="6" xfId="0" applyFont="1" applyFill="1" applyBorder="1" applyAlignment="1">
      <alignment horizontal="left" vertical="top" wrapText="1"/>
    </xf>
    <xf numFmtId="0" fontId="95" fillId="4" borderId="4" xfId="0" applyFont="1" applyFill="1" applyBorder="1" applyAlignment="1">
      <alignment horizontal="left" vertical="top" wrapText="1"/>
    </xf>
    <xf numFmtId="49" fontId="95" fillId="4" borderId="2" xfId="0" applyNumberFormat="1" applyFont="1" applyFill="1" applyBorder="1" applyAlignment="1">
      <alignment horizontal="left" vertical="top" wrapText="1"/>
    </xf>
    <xf numFmtId="49" fontId="95" fillId="4" borderId="4" xfId="0" applyNumberFormat="1" applyFont="1" applyFill="1" applyBorder="1" applyAlignment="1">
      <alignment horizontal="left" vertical="top" wrapText="1"/>
    </xf>
    <xf numFmtId="49" fontId="10" fillId="4" borderId="2" xfId="1" applyNumberFormat="1" applyFont="1" applyFill="1" applyBorder="1" applyAlignment="1">
      <alignment horizontal="center" vertical="top" wrapText="1"/>
    </xf>
    <xf numFmtId="49" fontId="10" fillId="4" borderId="4" xfId="1" applyNumberFormat="1" applyFont="1" applyFill="1" applyBorder="1" applyAlignment="1">
      <alignment horizontal="center" vertical="top" wrapText="1"/>
    </xf>
    <xf numFmtId="49" fontId="91" fillId="4" borderId="1" xfId="0" applyNumberFormat="1" applyFont="1" applyFill="1" applyBorder="1" applyAlignment="1">
      <alignment horizontal="center" vertical="top" wrapText="1"/>
    </xf>
    <xf numFmtId="0" fontId="95" fillId="4" borderId="1" xfId="0" applyFont="1" applyFill="1" applyBorder="1" applyAlignment="1">
      <alignment horizontal="left" vertical="top" wrapText="1"/>
    </xf>
    <xf numFmtId="49" fontId="95" fillId="4" borderId="6" xfId="0" applyNumberFormat="1" applyFont="1" applyFill="1" applyBorder="1" applyAlignment="1">
      <alignment horizontal="left" vertical="top" wrapText="1"/>
    </xf>
    <xf numFmtId="49" fontId="95" fillId="4" borderId="1" xfId="0" applyNumberFormat="1" applyFont="1" applyFill="1" applyBorder="1" applyAlignment="1">
      <alignment horizontal="left" vertical="top" wrapText="1"/>
    </xf>
    <xf numFmtId="0" fontId="95" fillId="2" borderId="2" xfId="0" applyFont="1" applyFill="1" applyBorder="1" applyAlignment="1">
      <alignment horizontal="left" vertical="top" wrapText="1"/>
    </xf>
    <xf numFmtId="0" fontId="95" fillId="2" borderId="4" xfId="0" applyFont="1" applyFill="1" applyBorder="1" applyAlignment="1">
      <alignment horizontal="left" vertical="top" wrapText="1"/>
    </xf>
    <xf numFmtId="0" fontId="95" fillId="0" borderId="2" xfId="11" applyFont="1" applyBorder="1" applyAlignment="1">
      <alignment horizontal="left" vertical="top" wrapText="1"/>
    </xf>
    <xf numFmtId="0" fontId="95" fillId="0" borderId="4" xfId="11" applyFont="1" applyBorder="1" applyAlignment="1">
      <alignment horizontal="left" vertical="top" wrapText="1"/>
    </xf>
    <xf numFmtId="0" fontId="95" fillId="0" borderId="1" xfId="0" applyFont="1" applyBorder="1" applyAlignment="1">
      <alignment horizontal="left" vertical="top" wrapText="1"/>
    </xf>
    <xf numFmtId="0" fontId="95" fillId="12" borderId="1" xfId="0" applyFont="1" applyFill="1" applyBorder="1" applyAlignment="1">
      <alignment horizontal="left" vertical="top" wrapText="1"/>
    </xf>
    <xf numFmtId="49" fontId="55" fillId="4" borderId="1" xfId="0" applyNumberFormat="1" applyFont="1" applyFill="1" applyBorder="1" applyAlignment="1">
      <alignment horizontal="right" vertical="top" wrapText="1"/>
    </xf>
    <xf numFmtId="0" fontId="57" fillId="4" borderId="2" xfId="0" applyFont="1" applyFill="1" applyBorder="1" applyAlignment="1">
      <alignment horizontal="left" vertical="top" wrapText="1"/>
    </xf>
    <xf numFmtId="0" fontId="57" fillId="4" borderId="4" xfId="0" applyFont="1" applyFill="1" applyBorder="1" applyAlignment="1">
      <alignment horizontal="left" vertical="top" wrapText="1"/>
    </xf>
    <xf numFmtId="49" fontId="57" fillId="4" borderId="2" xfId="0" applyNumberFormat="1" applyFont="1" applyFill="1" applyBorder="1" applyAlignment="1">
      <alignment horizontal="center" vertical="top" wrapText="1"/>
    </xf>
    <xf numFmtId="49" fontId="57" fillId="4" borderId="4" xfId="0" applyNumberFormat="1" applyFont="1" applyFill="1" applyBorder="1" applyAlignment="1">
      <alignment horizontal="center" vertical="top" wrapText="1"/>
    </xf>
    <xf numFmtId="166" fontId="10" fillId="4" borderId="2" xfId="1" applyNumberFormat="1" applyFont="1" applyFill="1" applyBorder="1" applyAlignment="1">
      <alignment horizontal="right" vertical="top" wrapText="1"/>
    </xf>
    <xf numFmtId="166" fontId="10" fillId="4" borderId="4" xfId="1" applyNumberFormat="1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right" vertical="center" textRotation="90" wrapText="1"/>
    </xf>
    <xf numFmtId="49" fontId="57" fillId="4" borderId="2" xfId="0" applyNumberFormat="1" applyFont="1" applyFill="1" applyBorder="1" applyAlignment="1">
      <alignment horizontal="right" vertical="top" wrapText="1"/>
    </xf>
    <xf numFmtId="49" fontId="57" fillId="4" borderId="4" xfId="0" applyNumberFormat="1" applyFont="1" applyFill="1" applyBorder="1" applyAlignment="1">
      <alignment horizontal="right" vertical="top" wrapText="1"/>
    </xf>
    <xf numFmtId="0" fontId="55" fillId="4" borderId="2" xfId="0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49" fontId="57" fillId="4" borderId="1" xfId="0" applyNumberFormat="1" applyFont="1" applyFill="1" applyBorder="1" applyAlignment="1">
      <alignment horizontal="right" vertical="top" wrapText="1"/>
    </xf>
    <xf numFmtId="49" fontId="62" fillId="4" borderId="1" xfId="0" applyNumberFormat="1" applyFont="1" applyFill="1" applyBorder="1" applyAlignment="1">
      <alignment horizontal="right" vertical="top" wrapText="1"/>
    </xf>
    <xf numFmtId="49" fontId="56" fillId="4" borderId="1" xfId="0" applyNumberFormat="1" applyFont="1" applyFill="1" applyBorder="1" applyAlignment="1">
      <alignment horizontal="right" vertical="center" textRotation="90" wrapText="1"/>
    </xf>
    <xf numFmtId="49" fontId="57" fillId="4" borderId="1" xfId="6" applyNumberFormat="1" applyFont="1" applyFill="1" applyBorder="1" applyAlignment="1">
      <alignment horizontal="right" vertical="top" wrapText="1"/>
    </xf>
    <xf numFmtId="0" fontId="57" fillId="4" borderId="2" xfId="6" applyFont="1" applyFill="1" applyBorder="1" applyAlignment="1">
      <alignment horizontal="left" vertical="top" wrapText="1"/>
    </xf>
    <xf numFmtId="0" fontId="57" fillId="4" borderId="4" xfId="6" applyFont="1" applyFill="1" applyBorder="1" applyAlignment="1">
      <alignment horizontal="left"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49" fontId="55" fillId="4" borderId="1" xfId="11" applyNumberFormat="1" applyFont="1" applyFill="1" applyBorder="1" applyAlignment="1">
      <alignment horizontal="right" vertical="center" textRotation="90" wrapText="1"/>
    </xf>
    <xf numFmtId="1" fontId="55" fillId="4" borderId="2" xfId="0" applyNumberFormat="1" applyFont="1" applyFill="1" applyBorder="1" applyAlignment="1">
      <alignment horizontal="left" vertical="top" wrapText="1"/>
    </xf>
    <xf numFmtId="1" fontId="55" fillId="4" borderId="4" xfId="0" applyNumberFormat="1" applyFont="1" applyFill="1" applyBorder="1" applyAlignment="1">
      <alignment horizontal="left" vertical="top" wrapText="1"/>
    </xf>
    <xf numFmtId="0" fontId="58" fillId="4" borderId="4" xfId="0" applyFont="1" applyFill="1" applyBorder="1" applyAlignment="1">
      <alignment horizontal="left" vertical="top" wrapText="1"/>
    </xf>
    <xf numFmtId="166" fontId="10" fillId="4" borderId="6" xfId="0" applyNumberFormat="1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right" vertical="top"/>
    </xf>
    <xf numFmtId="166" fontId="10" fillId="4" borderId="4" xfId="0" applyNumberFormat="1" applyFont="1" applyFill="1" applyBorder="1" applyAlignment="1">
      <alignment horizontal="right" vertical="top"/>
    </xf>
    <xf numFmtId="0" fontId="55" fillId="4" borderId="2" xfId="11" applyFont="1" applyFill="1" applyBorder="1" applyAlignment="1">
      <alignment horizontal="left" vertical="top" wrapText="1"/>
    </xf>
    <xf numFmtId="0" fontId="55" fillId="4" borderId="6" xfId="11" applyFont="1" applyFill="1" applyBorder="1" applyAlignment="1">
      <alignment horizontal="left" vertical="top" wrapText="1"/>
    </xf>
    <xf numFmtId="0" fontId="55" fillId="4" borderId="4" xfId="11" applyFont="1" applyFill="1" applyBorder="1" applyAlignment="1">
      <alignment horizontal="left" vertical="top" wrapText="1"/>
    </xf>
    <xf numFmtId="49" fontId="55" fillId="4" borderId="2" xfId="11" applyNumberFormat="1" applyFont="1" applyFill="1" applyBorder="1" applyAlignment="1">
      <alignment horizontal="left" vertical="top" wrapText="1"/>
    </xf>
    <xf numFmtId="49" fontId="55" fillId="4" borderId="6" xfId="11" applyNumberFormat="1" applyFont="1" applyFill="1" applyBorder="1" applyAlignment="1">
      <alignment horizontal="left" vertical="top" wrapText="1"/>
    </xf>
    <xf numFmtId="49" fontId="55" fillId="4" borderId="4" xfId="11" applyNumberFormat="1" applyFont="1" applyFill="1" applyBorder="1" applyAlignment="1">
      <alignment horizontal="left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49" fontId="55" fillId="0" borderId="2" xfId="0" applyNumberFormat="1" applyFont="1" applyBorder="1" applyAlignment="1">
      <alignment horizontal="left" vertical="top" wrapText="1"/>
    </xf>
    <xf numFmtId="49" fontId="55" fillId="0" borderId="4" xfId="0" applyNumberFormat="1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5" fillId="0" borderId="4" xfId="0" applyFont="1" applyBorder="1" applyAlignment="1">
      <alignment horizontal="left" vertical="top" wrapText="1"/>
    </xf>
    <xf numFmtId="0" fontId="55" fillId="4" borderId="2" xfId="6" applyFont="1" applyFill="1" applyBorder="1" applyAlignment="1">
      <alignment horizontal="left" vertical="top" wrapText="1"/>
    </xf>
    <xf numFmtId="0" fontId="55" fillId="4" borderId="4" xfId="6" applyFont="1" applyFill="1" applyBorder="1" applyAlignment="1">
      <alignment horizontal="left" vertical="top" wrapText="1"/>
    </xf>
    <xf numFmtId="0" fontId="57" fillId="4" borderId="1" xfId="11" applyFont="1" applyFill="1" applyBorder="1" applyAlignment="1">
      <alignment horizontal="center" vertical="top" wrapText="1"/>
    </xf>
    <xf numFmtId="49" fontId="55" fillId="4" borderId="2" xfId="6" applyNumberFormat="1" applyFont="1" applyFill="1" applyBorder="1" applyAlignment="1">
      <alignment horizontal="right" vertical="top" wrapText="1"/>
    </xf>
    <xf numFmtId="49" fontId="55" fillId="4" borderId="4" xfId="6" applyNumberFormat="1" applyFont="1" applyFill="1" applyBorder="1" applyAlignment="1">
      <alignment horizontal="right" vertical="top" wrapText="1"/>
    </xf>
    <xf numFmtId="49" fontId="1" fillId="4" borderId="1" xfId="0" applyNumberFormat="1" applyFont="1" applyFill="1" applyBorder="1" applyAlignment="1">
      <alignment horizontal="right" vertical="center" textRotation="90" wrapText="1"/>
    </xf>
    <xf numFmtId="49" fontId="55" fillId="4" borderId="2" xfId="6" applyNumberFormat="1" applyFont="1" applyFill="1" applyBorder="1" applyAlignment="1">
      <alignment horizontal="center" vertical="top" wrapText="1"/>
    </xf>
    <xf numFmtId="49" fontId="55" fillId="4" borderId="4" xfId="6" applyNumberFormat="1" applyFont="1" applyFill="1" applyBorder="1" applyAlignment="1">
      <alignment horizontal="center" vertical="top" wrapText="1"/>
    </xf>
    <xf numFmtId="0" fontId="48" fillId="2" borderId="0" xfId="0" applyFont="1" applyFill="1" applyAlignment="1">
      <alignment horizontal="center" vertical="center"/>
    </xf>
    <xf numFmtId="49" fontId="55" fillId="4" borderId="2" xfId="0" applyNumberFormat="1" applyFont="1" applyFill="1" applyBorder="1" applyAlignment="1">
      <alignment horizontal="right" vertical="top" wrapText="1"/>
    </xf>
    <xf numFmtId="49" fontId="55" fillId="4" borderId="4" xfId="0" applyNumberFormat="1" applyFont="1" applyFill="1" applyBorder="1" applyAlignment="1">
      <alignment horizontal="right" vertical="top" wrapText="1"/>
    </xf>
    <xf numFmtId="49" fontId="56" fillId="4" borderId="1" xfId="0" applyNumberFormat="1" applyFont="1" applyFill="1" applyBorder="1" applyAlignment="1">
      <alignment horizontal="right" vertical="top" wrapText="1"/>
    </xf>
    <xf numFmtId="0" fontId="57" fillId="4" borderId="1" xfId="11" applyFont="1" applyFill="1" applyBorder="1" applyAlignment="1">
      <alignment horizontal="right" vertical="top" wrapText="1"/>
    </xf>
    <xf numFmtId="0" fontId="55" fillId="4" borderId="6" xfId="0" applyFont="1" applyFill="1" applyBorder="1" applyAlignment="1">
      <alignment horizontal="left" vertical="top" wrapText="1"/>
    </xf>
    <xf numFmtId="1" fontId="55" fillId="2" borderId="1" xfId="0" applyNumberFormat="1" applyFont="1" applyFill="1" applyBorder="1" applyAlignment="1">
      <alignment horizontal="left" vertical="top" wrapText="1"/>
    </xf>
    <xf numFmtId="165" fontId="10" fillId="4" borderId="2" xfId="7" applyNumberFormat="1" applyFont="1" applyFill="1" applyBorder="1" applyAlignment="1">
      <alignment horizontal="right" vertical="top" wrapText="1"/>
    </xf>
    <xf numFmtId="165" fontId="10" fillId="4" borderId="4" xfId="7" applyNumberFormat="1" applyFont="1" applyFill="1" applyBorder="1" applyAlignment="1">
      <alignment horizontal="right" vertical="top" wrapText="1"/>
    </xf>
    <xf numFmtId="49" fontId="10" fillId="0" borderId="2" xfId="6" applyNumberFormat="1" applyFont="1" applyBorder="1" applyAlignment="1">
      <alignment horizontal="left" vertical="top" wrapText="1"/>
    </xf>
    <xf numFmtId="49" fontId="10" fillId="0" borderId="4" xfId="6" applyNumberFormat="1" applyFont="1" applyBorder="1" applyAlignment="1">
      <alignment horizontal="left" vertical="top" wrapText="1"/>
    </xf>
    <xf numFmtId="49" fontId="10" fillId="4" borderId="1" xfId="6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166" fontId="10" fillId="4" borderId="2" xfId="6" applyNumberFormat="1" applyFont="1" applyFill="1" applyBorder="1" applyAlignment="1">
      <alignment horizontal="right" vertical="top" wrapText="1"/>
    </xf>
    <xf numFmtId="166" fontId="10" fillId="4" borderId="4" xfId="6" applyNumberFormat="1" applyFont="1" applyFill="1" applyBorder="1" applyAlignment="1">
      <alignment horizontal="right" vertical="top" wrapText="1"/>
    </xf>
    <xf numFmtId="49" fontId="10" fillId="4" borderId="1" xfId="1" applyNumberFormat="1" applyFont="1" applyFill="1" applyBorder="1" applyAlignment="1">
      <alignment horizontal="left" vertical="top" wrapText="1"/>
    </xf>
    <xf numFmtId="165" fontId="10" fillId="4" borderId="15" xfId="0" applyNumberFormat="1" applyFont="1" applyFill="1" applyBorder="1" applyAlignment="1">
      <alignment horizontal="left" vertical="top" wrapText="1"/>
    </xf>
    <xf numFmtId="165" fontId="10" fillId="4" borderId="13" xfId="0" applyNumberFormat="1" applyFont="1" applyFill="1" applyBorder="1" applyAlignment="1">
      <alignment horizontal="left" vertical="top" wrapText="1"/>
    </xf>
    <xf numFmtId="49" fontId="10" fillId="4" borderId="2" xfId="6" applyNumberFormat="1" applyFont="1" applyFill="1" applyBorder="1" applyAlignment="1">
      <alignment horizontal="left" vertical="top" wrapText="1"/>
    </xf>
    <xf numFmtId="49" fontId="10" fillId="4" borderId="4" xfId="6" applyNumberFormat="1" applyFont="1" applyFill="1" applyBorder="1" applyAlignment="1">
      <alignment horizontal="left" vertical="top" wrapText="1"/>
    </xf>
    <xf numFmtId="166" fontId="44" fillId="4" borderId="2" xfId="0" applyNumberFormat="1" applyFont="1" applyFill="1" applyBorder="1" applyAlignment="1">
      <alignment horizontal="right" vertical="top" wrapText="1"/>
    </xf>
    <xf numFmtId="166" fontId="44" fillId="4" borderId="4" xfId="0" applyNumberFormat="1" applyFont="1" applyFill="1" applyBorder="1" applyAlignment="1">
      <alignment horizontal="right" vertical="top" wrapText="1"/>
    </xf>
    <xf numFmtId="166" fontId="91" fillId="19" borderId="2" xfId="0" applyNumberFormat="1" applyFont="1" applyFill="1" applyBorder="1" applyAlignment="1">
      <alignment horizontal="right" vertical="top" wrapText="1"/>
    </xf>
    <xf numFmtId="166" fontId="91" fillId="19" borderId="4" xfId="0" applyNumberFormat="1" applyFont="1" applyFill="1" applyBorder="1" applyAlignment="1">
      <alignment horizontal="right" vertical="top" wrapText="1"/>
    </xf>
    <xf numFmtId="49" fontId="12" fillId="16" borderId="1" xfId="0" applyNumberFormat="1" applyFont="1" applyFill="1" applyBorder="1" applyAlignment="1">
      <alignment horizontal="center" vertical="center" wrapText="1"/>
    </xf>
    <xf numFmtId="49" fontId="1" fillId="4" borderId="1" xfId="11" applyNumberFormat="1" applyFont="1" applyFill="1" applyBorder="1" applyAlignment="1">
      <alignment horizontal="right" vertical="center" textRotation="90" wrapText="1"/>
    </xf>
    <xf numFmtId="0" fontId="69" fillId="4" borderId="0" xfId="0" applyFont="1" applyFill="1" applyAlignment="1">
      <alignment horizontal="center" vertical="center" wrapText="1"/>
    </xf>
    <xf numFmtId="0" fontId="55" fillId="4" borderId="1" xfId="0" applyFont="1" applyFill="1" applyBorder="1" applyAlignment="1">
      <alignment vertical="top" wrapText="1"/>
    </xf>
    <xf numFmtId="0" fontId="12" fillId="16" borderId="1" xfId="0" applyFont="1" applyFill="1" applyBorder="1" applyAlignment="1">
      <alignment horizontal="center" vertical="center" wrapText="1"/>
    </xf>
    <xf numFmtId="49" fontId="67" fillId="13" borderId="13" xfId="0" applyNumberFormat="1" applyFont="1" applyFill="1" applyBorder="1" applyAlignment="1">
      <alignment horizontal="left" vertical="top" wrapText="1"/>
    </xf>
    <xf numFmtId="49" fontId="67" fillId="13" borderId="7" xfId="0" applyNumberFormat="1" applyFont="1" applyFill="1" applyBorder="1" applyAlignment="1">
      <alignment horizontal="left" vertical="top" wrapText="1"/>
    </xf>
    <xf numFmtId="49" fontId="67" fillId="13" borderId="3" xfId="0" applyNumberFormat="1" applyFont="1" applyFill="1" applyBorder="1" applyAlignment="1">
      <alignment horizontal="left" vertical="top" wrapText="1"/>
    </xf>
    <xf numFmtId="49" fontId="67" fillId="13" borderId="5" xfId="0" applyNumberFormat="1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right" vertical="top" wrapText="1"/>
    </xf>
    <xf numFmtId="49" fontId="68" fillId="4" borderId="1" xfId="0" applyNumberFormat="1" applyFont="1" applyFill="1" applyBorder="1" applyAlignment="1">
      <alignment horizontal="right" vertical="top" wrapText="1"/>
    </xf>
    <xf numFmtId="49" fontId="76" fillId="13" borderId="10" xfId="0" applyNumberFormat="1" applyFont="1" applyFill="1" applyBorder="1" applyAlignment="1">
      <alignment horizontal="right" vertical="top" wrapText="1"/>
    </xf>
    <xf numFmtId="49" fontId="76" fillId="13" borderId="7" xfId="0" applyNumberFormat="1" applyFont="1" applyFill="1" applyBorder="1" applyAlignment="1">
      <alignment horizontal="right" vertical="top" wrapText="1"/>
    </xf>
    <xf numFmtId="0" fontId="10" fillId="4" borderId="1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vertical="top" wrapText="1"/>
    </xf>
    <xf numFmtId="0" fontId="96" fillId="4" borderId="1" xfId="0" applyFont="1" applyFill="1" applyBorder="1" applyAlignment="1">
      <alignment vertical="top" wrapText="1"/>
    </xf>
    <xf numFmtId="0" fontId="96" fillId="4" borderId="2" xfId="0" applyFont="1" applyFill="1" applyBorder="1" applyAlignment="1">
      <alignment horizontal="left" vertical="top" wrapText="1"/>
    </xf>
    <xf numFmtId="0" fontId="96" fillId="4" borderId="4" xfId="0" applyFont="1" applyFill="1" applyBorder="1" applyAlignment="1">
      <alignment horizontal="left" vertical="top" wrapText="1"/>
    </xf>
    <xf numFmtId="0" fontId="96" fillId="4" borderId="2" xfId="11" applyFont="1" applyFill="1" applyBorder="1" applyAlignment="1">
      <alignment horizontal="left" vertical="top" wrapText="1"/>
    </xf>
    <xf numFmtId="0" fontId="96" fillId="4" borderId="6" xfId="11" applyFont="1" applyFill="1" applyBorder="1" applyAlignment="1">
      <alignment horizontal="left" vertical="top" wrapText="1"/>
    </xf>
    <xf numFmtId="0" fontId="96" fillId="4" borderId="4" xfId="11" applyFont="1" applyFill="1" applyBorder="1" applyAlignment="1">
      <alignment horizontal="left" vertical="top" wrapText="1"/>
    </xf>
    <xf numFmtId="49" fontId="96" fillId="4" borderId="2" xfId="11" applyNumberFormat="1" applyFont="1" applyFill="1" applyBorder="1" applyAlignment="1">
      <alignment horizontal="left" vertical="top" wrapText="1"/>
    </xf>
    <xf numFmtId="49" fontId="96" fillId="4" borderId="6" xfId="11" applyNumberFormat="1" applyFont="1" applyFill="1" applyBorder="1" applyAlignment="1">
      <alignment horizontal="left" vertical="top" wrapText="1"/>
    </xf>
    <xf numFmtId="49" fontId="96" fillId="4" borderId="4" xfId="11" applyNumberFormat="1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vertical="top" wrapText="1"/>
    </xf>
    <xf numFmtId="0" fontId="27" fillId="4" borderId="4" xfId="0" applyFont="1" applyFill="1" applyBorder="1" applyAlignment="1">
      <alignment vertical="top" wrapText="1"/>
    </xf>
    <xf numFmtId="0" fontId="10" fillId="6" borderId="4" xfId="0" applyFont="1" applyFill="1" applyBorder="1" applyAlignment="1">
      <alignment horizontal="left" vertical="top" wrapText="1"/>
    </xf>
    <xf numFmtId="0" fontId="55" fillId="4" borderId="1" xfId="6" applyFont="1" applyFill="1" applyBorder="1" applyAlignment="1">
      <alignment horizontal="left" vertical="top" wrapText="1"/>
    </xf>
    <xf numFmtId="49" fontId="55" fillId="4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1" fillId="19" borderId="2" xfId="0" applyFont="1" applyFill="1" applyBorder="1" applyAlignment="1">
      <alignment horizontal="center" vertical="center" wrapText="1"/>
    </xf>
    <xf numFmtId="0" fontId="101" fillId="19" borderId="6" xfId="0" applyFont="1" applyFill="1" applyBorder="1" applyAlignment="1">
      <alignment horizontal="center" vertical="center" wrapText="1"/>
    </xf>
    <xf numFmtId="0" fontId="101" fillId="19" borderId="4" xfId="0" applyFont="1" applyFill="1" applyBorder="1" applyAlignment="1">
      <alignment horizontal="center" vertical="center" wrapText="1"/>
    </xf>
    <xf numFmtId="49" fontId="101" fillId="19" borderId="1" xfId="0" applyNumberFormat="1" applyFont="1" applyFill="1" applyBorder="1" applyAlignment="1">
      <alignment horizontal="center" vertical="center" wrapText="1"/>
    </xf>
    <xf numFmtId="49" fontId="55" fillId="4" borderId="1" xfId="11" applyNumberFormat="1" applyFont="1" applyFill="1" applyBorder="1" applyAlignment="1">
      <alignment horizontal="center" vertical="center" textRotation="90" wrapText="1"/>
    </xf>
    <xf numFmtId="49" fontId="55" fillId="4" borderId="2" xfId="0" applyNumberFormat="1" applyFont="1" applyFill="1" applyBorder="1" applyAlignment="1">
      <alignment horizontal="center" vertical="top" wrapText="1"/>
    </xf>
    <xf numFmtId="49" fontId="55" fillId="4" borderId="4" xfId="0" applyNumberFormat="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62" fillId="4" borderId="1" xfId="0" applyNumberFormat="1" applyFont="1" applyFill="1" applyBorder="1" applyAlignment="1">
      <alignment horizontal="center" vertical="top"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99" fillId="19" borderId="2" xfId="6" applyNumberFormat="1" applyFont="1" applyFill="1" applyBorder="1" applyAlignment="1">
      <alignment horizontal="left" vertical="top" wrapText="1"/>
    </xf>
    <xf numFmtId="49" fontId="99" fillId="19" borderId="4" xfId="6" applyNumberFormat="1" applyFont="1" applyFill="1" applyBorder="1" applyAlignment="1">
      <alignment horizontal="left" vertical="top" wrapText="1"/>
    </xf>
    <xf numFmtId="166" fontId="99" fillId="19" borderId="2" xfId="0" applyNumberFormat="1" applyFont="1" applyFill="1" applyBorder="1" applyAlignment="1">
      <alignment horizontal="center" vertical="top" wrapText="1"/>
    </xf>
    <xf numFmtId="166" fontId="99" fillId="19" borderId="4" xfId="0" applyNumberFormat="1" applyFont="1" applyFill="1" applyBorder="1" applyAlignment="1">
      <alignment horizontal="center" vertical="top" wrapText="1"/>
    </xf>
    <xf numFmtId="49" fontId="96" fillId="19" borderId="1" xfId="0" applyNumberFormat="1" applyFont="1" applyFill="1" applyBorder="1" applyAlignment="1">
      <alignment horizontal="center" vertical="center" textRotation="90" wrapText="1"/>
    </xf>
    <xf numFmtId="0" fontId="96" fillId="19" borderId="2" xfId="6" applyFont="1" applyFill="1" applyBorder="1" applyAlignment="1">
      <alignment horizontal="left" vertical="top" wrapText="1"/>
    </xf>
    <xf numFmtId="0" fontId="96" fillId="19" borderId="4" xfId="6" applyFont="1" applyFill="1" applyBorder="1" applyAlignment="1">
      <alignment horizontal="left" vertical="top" wrapText="1"/>
    </xf>
    <xf numFmtId="49" fontId="96" fillId="19" borderId="2" xfId="6" applyNumberFormat="1" applyFont="1" applyFill="1" applyBorder="1" applyAlignment="1">
      <alignment horizontal="center" vertical="top" wrapText="1"/>
    </xf>
    <xf numFmtId="49" fontId="96" fillId="19" borderId="4" xfId="6" applyNumberFormat="1" applyFont="1" applyFill="1" applyBorder="1" applyAlignment="1">
      <alignment horizontal="center" vertical="top" wrapText="1"/>
    </xf>
    <xf numFmtId="49" fontId="98" fillId="19" borderId="2" xfId="6" applyNumberFormat="1" applyFont="1" applyFill="1" applyBorder="1" applyAlignment="1">
      <alignment horizontal="left" vertical="top" wrapText="1"/>
    </xf>
    <xf numFmtId="49" fontId="98" fillId="19" borderId="4" xfId="6" applyNumberFormat="1" applyFont="1" applyFill="1" applyBorder="1" applyAlignment="1">
      <alignment horizontal="left" vertical="top" wrapText="1"/>
    </xf>
    <xf numFmtId="49" fontId="98" fillId="19" borderId="6" xfId="6" applyNumberFormat="1" applyFont="1" applyFill="1" applyBorder="1" applyAlignment="1">
      <alignment horizontal="left" vertical="top" wrapText="1"/>
    </xf>
    <xf numFmtId="49" fontId="99" fillId="19" borderId="6" xfId="6" applyNumberFormat="1" applyFont="1" applyFill="1" applyBorder="1" applyAlignment="1">
      <alignment horizontal="left" vertical="top" wrapText="1"/>
    </xf>
    <xf numFmtId="49" fontId="96" fillId="19" borderId="2" xfId="0" applyNumberFormat="1" applyFont="1" applyFill="1" applyBorder="1" applyAlignment="1">
      <alignment horizontal="center" vertical="center" textRotation="90" wrapText="1"/>
    </xf>
    <xf numFmtId="49" fontId="96" fillId="19" borderId="6" xfId="0" applyNumberFormat="1" applyFont="1" applyFill="1" applyBorder="1" applyAlignment="1">
      <alignment horizontal="center" vertical="center" textRotation="90" wrapText="1"/>
    </xf>
    <xf numFmtId="49" fontId="96" fillId="19" borderId="4" xfId="0" applyNumberFormat="1" applyFont="1" applyFill="1" applyBorder="1" applyAlignment="1">
      <alignment horizontal="center" vertical="center" textRotation="90" wrapText="1"/>
    </xf>
    <xf numFmtId="49" fontId="96" fillId="19" borderId="6" xfId="6" applyNumberFormat="1" applyFont="1" applyFill="1" applyBorder="1" applyAlignment="1">
      <alignment horizontal="center" vertical="top" wrapText="1"/>
    </xf>
    <xf numFmtId="0" fontId="96" fillId="19" borderId="6" xfId="6" applyFont="1" applyFill="1" applyBorder="1" applyAlignment="1">
      <alignment horizontal="left" vertical="top" wrapText="1"/>
    </xf>
    <xf numFmtId="166" fontId="99" fillId="19" borderId="6" xfId="0" applyNumberFormat="1" applyFont="1" applyFill="1" applyBorder="1" applyAlignment="1">
      <alignment horizontal="center" vertical="top" wrapText="1"/>
    </xf>
    <xf numFmtId="49" fontId="96" fillId="0" borderId="2" xfId="0" applyNumberFormat="1" applyFont="1" applyBorder="1" applyAlignment="1">
      <alignment horizontal="left" vertical="top" wrapText="1"/>
    </xf>
    <xf numFmtId="49" fontId="96" fillId="0" borderId="4" xfId="0" applyNumberFormat="1" applyFont="1" applyBorder="1" applyAlignment="1">
      <alignment horizontal="left" vertical="top" wrapText="1"/>
    </xf>
    <xf numFmtId="0" fontId="96" fillId="0" borderId="2" xfId="0" applyFont="1" applyBorder="1" applyAlignment="1">
      <alignment horizontal="left" vertical="top" wrapText="1"/>
    </xf>
    <xf numFmtId="0" fontId="96" fillId="0" borderId="4" xfId="0" applyFont="1" applyBorder="1" applyAlignment="1">
      <alignment horizontal="left" vertical="top" wrapText="1"/>
    </xf>
    <xf numFmtId="0" fontId="96" fillId="4" borderId="2" xfId="6" applyFont="1" applyFill="1" applyBorder="1" applyAlignment="1">
      <alignment horizontal="left" vertical="top" wrapText="1"/>
    </xf>
    <xf numFmtId="0" fontId="96" fillId="4" borderId="4" xfId="6" applyFont="1" applyFill="1" applyBorder="1" applyAlignment="1">
      <alignment horizontal="left" vertical="top" wrapText="1"/>
    </xf>
    <xf numFmtId="0" fontId="96" fillId="4" borderId="6" xfId="0" applyFont="1" applyFill="1" applyBorder="1" applyAlignment="1">
      <alignment horizontal="left" vertical="top" wrapText="1"/>
    </xf>
    <xf numFmtId="1" fontId="96" fillId="4" borderId="2" xfId="0" applyNumberFormat="1" applyFont="1" applyFill="1" applyBorder="1" applyAlignment="1">
      <alignment horizontal="left" vertical="top" wrapText="1"/>
    </xf>
    <xf numFmtId="1" fontId="96" fillId="4" borderId="4" xfId="0" applyNumberFormat="1" applyFont="1" applyFill="1" applyBorder="1" applyAlignment="1">
      <alignment horizontal="left" vertical="top" wrapText="1"/>
    </xf>
    <xf numFmtId="0" fontId="96" fillId="4" borderId="1" xfId="0" applyFont="1" applyFill="1" applyBorder="1" applyAlignment="1">
      <alignment horizontal="left" vertical="top" wrapText="1"/>
    </xf>
    <xf numFmtId="49" fontId="96" fillId="4" borderId="1" xfId="0" applyNumberFormat="1" applyFont="1" applyFill="1" applyBorder="1" applyAlignment="1">
      <alignment horizontal="left" vertical="top" wrapText="1"/>
    </xf>
    <xf numFmtId="165" fontId="96" fillId="4" borderId="1" xfId="0" applyNumberFormat="1" applyFont="1" applyFill="1" applyBorder="1" applyAlignment="1">
      <alignment horizontal="left" vertical="top" wrapText="1"/>
    </xf>
    <xf numFmtId="0" fontId="110" fillId="4" borderId="4" xfId="0" applyFont="1" applyFill="1" applyBorder="1" applyAlignment="1">
      <alignment horizontal="left" vertical="top" wrapText="1"/>
    </xf>
    <xf numFmtId="0" fontId="96" fillId="4" borderId="1" xfId="6" applyFont="1" applyFill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20" fillId="0" borderId="6" xfId="0" applyNumberFormat="1" applyFont="1" applyBorder="1" applyAlignment="1">
      <alignment horizontal="left" vertical="top" wrapText="1"/>
    </xf>
    <xf numFmtId="49" fontId="20" fillId="0" borderId="4" xfId="0" applyNumberFormat="1" applyFont="1" applyBorder="1" applyAlignment="1">
      <alignment horizontal="left" vertical="top" wrapText="1"/>
    </xf>
    <xf numFmtId="49" fontId="72" fillId="13" borderId="12" xfId="0" applyNumberFormat="1" applyFont="1" applyFill="1" applyBorder="1" applyAlignment="1">
      <alignment horizontal="right" vertical="top" wrapText="1"/>
    </xf>
    <xf numFmtId="49" fontId="72" fillId="13" borderId="5" xfId="0" applyNumberFormat="1" applyFont="1" applyFill="1" applyBorder="1" applyAlignment="1">
      <alignment horizontal="right" vertical="top" wrapText="1"/>
    </xf>
    <xf numFmtId="49" fontId="12" fillId="2" borderId="3" xfId="0" applyNumberFormat="1" applyFont="1" applyFill="1" applyBorder="1" applyAlignment="1">
      <alignment horizontal="right" vertical="top" wrapText="1"/>
    </xf>
    <xf numFmtId="49" fontId="12" fillId="2" borderId="12" xfId="0" applyNumberFormat="1" applyFont="1" applyFill="1" applyBorder="1" applyAlignment="1">
      <alignment horizontal="right" vertical="top" wrapText="1"/>
    </xf>
    <xf numFmtId="49" fontId="12" fillId="2" borderId="5" xfId="0" applyNumberFormat="1" applyFont="1" applyFill="1" applyBorder="1" applyAlignment="1">
      <alignment horizontal="right" vertical="top" wrapText="1"/>
    </xf>
    <xf numFmtId="0" fontId="12" fillId="16" borderId="2" xfId="0" applyFont="1" applyFill="1" applyBorder="1" applyAlignment="1">
      <alignment horizontal="center" vertical="top" wrapText="1"/>
    </xf>
    <xf numFmtId="0" fontId="12" fillId="16" borderId="6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49" fontId="12" fillId="16" borderId="2" xfId="0" applyNumberFormat="1" applyFont="1" applyFill="1" applyBorder="1" applyAlignment="1">
      <alignment horizontal="center" vertical="top" wrapText="1"/>
    </xf>
    <xf numFmtId="49" fontId="12" fillId="16" borderId="6" xfId="0" applyNumberFormat="1" applyFont="1" applyFill="1" applyBorder="1" applyAlignment="1">
      <alignment horizontal="center" vertical="top" wrapText="1"/>
    </xf>
    <xf numFmtId="49" fontId="12" fillId="16" borderId="4" xfId="0" applyNumberFormat="1" applyFont="1" applyFill="1" applyBorder="1" applyAlignment="1">
      <alignment horizontal="center" vertical="top" wrapText="1"/>
    </xf>
    <xf numFmtId="49" fontId="12" fillId="16" borderId="15" xfId="0" applyNumberFormat="1" applyFont="1" applyFill="1" applyBorder="1" applyAlignment="1">
      <alignment horizontal="center" vertical="top" wrapText="1"/>
    </xf>
    <xf numFmtId="49" fontId="12" fillId="16" borderId="8" xfId="0" applyNumberFormat="1" applyFont="1" applyFill="1" applyBorder="1" applyAlignment="1">
      <alignment horizontal="center" vertical="top" wrapText="1"/>
    </xf>
    <xf numFmtId="49" fontId="12" fillId="16" borderId="9" xfId="0" applyNumberFormat="1" applyFont="1" applyFill="1" applyBorder="1" applyAlignment="1">
      <alignment horizontal="center" vertical="top" wrapText="1"/>
    </xf>
    <xf numFmtId="49" fontId="12" fillId="16" borderId="14" xfId="0" applyNumberFormat="1" applyFont="1" applyFill="1" applyBorder="1" applyAlignment="1">
      <alignment horizontal="center" vertical="top" wrapText="1"/>
    </xf>
    <xf numFmtId="49" fontId="12" fillId="16" borderId="13" xfId="0" applyNumberFormat="1" applyFont="1" applyFill="1" applyBorder="1" applyAlignment="1">
      <alignment horizontal="center" vertical="top" wrapText="1"/>
    </xf>
    <xf numFmtId="49" fontId="12" fillId="16" borderId="7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top" wrapText="1"/>
    </xf>
    <xf numFmtId="0" fontId="101" fillId="19" borderId="2" xfId="0" applyFont="1" applyFill="1" applyBorder="1" applyAlignment="1">
      <alignment horizontal="center" vertical="top" wrapText="1"/>
    </xf>
    <xf numFmtId="0" fontId="101" fillId="19" borderId="6" xfId="0" applyFont="1" applyFill="1" applyBorder="1" applyAlignment="1">
      <alignment horizontal="center" vertical="top" wrapText="1"/>
    </xf>
    <xf numFmtId="0" fontId="101" fillId="19" borderId="4" xfId="0" applyFont="1" applyFill="1" applyBorder="1" applyAlignment="1">
      <alignment horizontal="center" vertical="top" wrapText="1"/>
    </xf>
    <xf numFmtId="49" fontId="20" fillId="4" borderId="2" xfId="0" applyNumberFormat="1" applyFont="1" applyFill="1" applyBorder="1" applyAlignment="1">
      <alignment horizontal="left" vertical="top" wrapText="1"/>
    </xf>
    <xf numFmtId="49" fontId="20" fillId="4" borderId="4" xfId="0" applyNumberFormat="1" applyFont="1" applyFill="1" applyBorder="1" applyAlignment="1">
      <alignment horizontal="left" vertical="top" wrapText="1"/>
    </xf>
    <xf numFmtId="49" fontId="20" fillId="4" borderId="6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166" fontId="11" fillId="4" borderId="6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0" fontId="20" fillId="4" borderId="2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left"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49" fontId="20" fillId="4" borderId="4" xfId="0" applyNumberFormat="1" applyFont="1" applyFill="1" applyBorder="1" applyAlignment="1">
      <alignment horizontal="center" vertical="top" wrapText="1"/>
    </xf>
    <xf numFmtId="0" fontId="42" fillId="4" borderId="2" xfId="0" applyFont="1" applyFill="1" applyBorder="1" applyAlignment="1">
      <alignment horizontal="center" vertical="top" wrapText="1"/>
    </xf>
    <xf numFmtId="0" fontId="42" fillId="4" borderId="4" xfId="0" applyFont="1" applyFill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left" vertical="top" wrapText="1"/>
    </xf>
    <xf numFmtId="49" fontId="11" fillId="4" borderId="6" xfId="0" applyNumberFormat="1" applyFont="1" applyFill="1" applyBorder="1" applyAlignment="1">
      <alignment horizontal="left" vertical="top" wrapText="1"/>
    </xf>
    <xf numFmtId="49" fontId="11" fillId="4" borderId="4" xfId="0" applyNumberFormat="1" applyFont="1" applyFill="1" applyBorder="1" applyAlignment="1">
      <alignment horizontal="left" vertical="top" wrapText="1"/>
    </xf>
    <xf numFmtId="49" fontId="20" fillId="4" borderId="2" xfId="0" applyNumberFormat="1" applyFont="1" applyFill="1" applyBorder="1" applyAlignment="1">
      <alignment horizontal="center" vertical="top" textRotation="90" wrapText="1"/>
    </xf>
    <xf numFmtId="49" fontId="20" fillId="4" borderId="6" xfId="0" applyNumberFormat="1" applyFont="1" applyFill="1" applyBorder="1" applyAlignment="1">
      <alignment horizontal="center" vertical="top" textRotation="90" wrapText="1"/>
    </xf>
    <xf numFmtId="49" fontId="20" fillId="4" borderId="4" xfId="0" applyNumberFormat="1" applyFont="1" applyFill="1" applyBorder="1" applyAlignment="1">
      <alignment horizontal="center" vertical="top" textRotation="90" wrapText="1"/>
    </xf>
    <xf numFmtId="0" fontId="40" fillId="4" borderId="2" xfId="0" applyFont="1" applyFill="1" applyBorder="1" applyAlignment="1">
      <alignment horizontal="center" vertical="top" wrapText="1"/>
    </xf>
    <xf numFmtId="0" fontId="40" fillId="4" borderId="4" xfId="0" applyFont="1" applyFill="1" applyBorder="1" applyAlignment="1">
      <alignment horizontal="center" vertical="top" wrapText="1"/>
    </xf>
    <xf numFmtId="49" fontId="42" fillId="4" borderId="2" xfId="0" applyNumberFormat="1" applyFont="1" applyFill="1" applyBorder="1" applyAlignment="1">
      <alignment horizontal="center" vertical="top" wrapText="1"/>
    </xf>
    <xf numFmtId="49" fontId="42" fillId="4" borderId="6" xfId="0" applyNumberFormat="1" applyFont="1" applyFill="1" applyBorder="1" applyAlignment="1">
      <alignment horizontal="center" vertical="top" wrapText="1"/>
    </xf>
    <xf numFmtId="49" fontId="42" fillId="4" borderId="4" xfId="0" applyNumberFormat="1" applyFont="1" applyFill="1" applyBorder="1" applyAlignment="1">
      <alignment horizontal="center" vertical="top" wrapText="1"/>
    </xf>
    <xf numFmtId="49" fontId="18" fillId="4" borderId="2" xfId="0" applyNumberFormat="1" applyFont="1" applyFill="1" applyBorder="1" applyAlignment="1">
      <alignment horizontal="center" vertical="top" textRotation="90" wrapText="1"/>
    </xf>
    <xf numFmtId="49" fontId="18" fillId="4" borderId="4" xfId="0" applyNumberFormat="1" applyFont="1" applyFill="1" applyBorder="1" applyAlignment="1">
      <alignment horizontal="center" vertical="top" textRotation="90" wrapText="1"/>
    </xf>
    <xf numFmtId="0" fontId="93" fillId="4" borderId="2" xfId="0" applyFont="1" applyFill="1" applyBorder="1" applyAlignment="1">
      <alignment vertical="top" wrapText="1"/>
    </xf>
    <xf numFmtId="0" fontId="93" fillId="4" borderId="6" xfId="0" applyFont="1" applyFill="1" applyBorder="1" applyAlignment="1">
      <alignment vertical="top" wrapText="1"/>
    </xf>
    <xf numFmtId="0" fontId="93" fillId="4" borderId="4" xfId="0" applyFont="1" applyFill="1" applyBorder="1" applyAlignment="1">
      <alignment vertical="top" wrapText="1"/>
    </xf>
    <xf numFmtId="0" fontId="93" fillId="0" borderId="2" xfId="0" applyFont="1" applyBorder="1" applyAlignment="1">
      <alignment horizontal="left" vertical="top" wrapText="1"/>
    </xf>
    <xf numFmtId="0" fontId="93" fillId="0" borderId="4" xfId="0" applyFont="1" applyBorder="1" applyAlignment="1">
      <alignment horizontal="left" vertical="top" wrapText="1"/>
    </xf>
    <xf numFmtId="49" fontId="93" fillId="0" borderId="2" xfId="0" applyNumberFormat="1" applyFont="1" applyBorder="1" applyAlignment="1">
      <alignment horizontal="left" vertical="top" wrapText="1"/>
    </xf>
    <xf numFmtId="49" fontId="93" fillId="0" borderId="4" xfId="0" applyNumberFormat="1" applyFont="1" applyBorder="1" applyAlignment="1">
      <alignment horizontal="left" vertical="top" wrapText="1"/>
    </xf>
    <xf numFmtId="49" fontId="93" fillId="0" borderId="6" xfId="0" applyNumberFormat="1" applyFont="1" applyBorder="1" applyAlignment="1">
      <alignment horizontal="left" vertical="top" wrapText="1"/>
    </xf>
    <xf numFmtId="0" fontId="93" fillId="4" borderId="2" xfId="0" applyFont="1" applyFill="1" applyBorder="1" applyAlignment="1">
      <alignment horizontal="left" vertical="top" wrapText="1"/>
    </xf>
    <xf numFmtId="0" fontId="93" fillId="4" borderId="6" xfId="0" applyFont="1" applyFill="1" applyBorder="1" applyAlignment="1">
      <alignment horizontal="left" vertical="top" wrapText="1"/>
    </xf>
    <xf numFmtId="0" fontId="93" fillId="4" borderId="4" xfId="0" applyFont="1" applyFill="1" applyBorder="1" applyAlignment="1">
      <alignment horizontal="left" vertical="top" wrapText="1"/>
    </xf>
    <xf numFmtId="49" fontId="12" fillId="16" borderId="3" xfId="0" applyNumberFormat="1" applyFont="1" applyFill="1" applyBorder="1" applyAlignment="1">
      <alignment horizontal="center" vertical="top" wrapText="1"/>
    </xf>
    <xf numFmtId="49" fontId="12" fillId="16" borderId="12" xfId="0" applyNumberFormat="1" applyFont="1" applyFill="1" applyBorder="1" applyAlignment="1">
      <alignment horizontal="center" vertical="top" wrapText="1"/>
    </xf>
    <xf numFmtId="49" fontId="12" fillId="16" borderId="5" xfId="0" applyNumberFormat="1" applyFont="1" applyFill="1" applyBorder="1" applyAlignment="1">
      <alignment horizontal="center" vertical="top" wrapText="1"/>
    </xf>
    <xf numFmtId="0" fontId="69" fillId="4" borderId="0" xfId="0" applyFont="1" applyFill="1" applyAlignment="1">
      <alignment horizontal="center" wrapText="1"/>
    </xf>
    <xf numFmtId="0" fontId="95" fillId="0" borderId="2" xfId="0" applyFont="1" applyBorder="1" applyAlignment="1">
      <alignment horizontal="left" vertical="top" wrapText="1"/>
    </xf>
    <xf numFmtId="0" fontId="95" fillId="0" borderId="4" xfId="0" applyFont="1" applyBorder="1" applyAlignment="1">
      <alignment horizontal="left" vertical="top" wrapText="1"/>
    </xf>
    <xf numFmtId="0" fontId="20" fillId="4" borderId="2" xfId="4" applyFont="1" applyFill="1" applyBorder="1" applyAlignment="1">
      <alignment horizontal="left" vertical="top" wrapText="1"/>
    </xf>
    <xf numFmtId="0" fontId="20" fillId="4" borderId="4" xfId="4" applyFont="1" applyFill="1" applyBorder="1" applyAlignment="1">
      <alignment horizontal="left" vertical="top" wrapText="1"/>
    </xf>
    <xf numFmtId="0" fontId="20" fillId="4" borderId="2" xfId="4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center" vertical="top" wrapText="1"/>
    </xf>
    <xf numFmtId="49" fontId="120" fillId="19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0" fontId="11" fillId="4" borderId="2" xfId="4" applyFont="1" applyFill="1" applyBorder="1" applyAlignment="1">
      <alignment horizontal="left" vertical="top" wrapText="1"/>
    </xf>
    <xf numFmtId="0" fontId="11" fillId="4" borderId="4" xfId="4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 vertical="center"/>
    </xf>
    <xf numFmtId="0" fontId="72" fillId="13" borderId="1" xfId="4" applyFont="1" applyFill="1" applyBorder="1" applyAlignment="1">
      <alignment horizontal="left" vertical="top" wrapText="1"/>
    </xf>
    <xf numFmtId="0" fontId="72" fillId="13" borderId="3" xfId="0" applyFont="1" applyFill="1" applyBorder="1" applyAlignment="1">
      <alignment horizontal="left" vertical="top" wrapText="1"/>
    </xf>
    <xf numFmtId="0" fontId="72" fillId="13" borderId="5" xfId="0" applyFont="1" applyFill="1" applyBorder="1" applyAlignment="1">
      <alignment horizontal="left" vertical="top" wrapText="1"/>
    </xf>
    <xf numFmtId="166" fontId="20" fillId="4" borderId="2" xfId="0" applyNumberFormat="1" applyFont="1" applyFill="1" applyBorder="1" applyAlignment="1">
      <alignment horizontal="center" vertical="top" wrapText="1"/>
    </xf>
    <xf numFmtId="166" fontId="20" fillId="4" borderId="6" xfId="0" applyNumberFormat="1" applyFont="1" applyFill="1" applyBorder="1" applyAlignment="1">
      <alignment horizontal="center" vertical="top" wrapText="1"/>
    </xf>
    <xf numFmtId="166" fontId="20" fillId="4" borderId="4" xfId="0" applyNumberFormat="1" applyFont="1" applyFill="1" applyBorder="1" applyAlignment="1">
      <alignment horizontal="center" vertical="top" wrapText="1"/>
    </xf>
    <xf numFmtId="49" fontId="11" fillId="4" borderId="2" xfId="0" applyNumberFormat="1" applyFont="1" applyFill="1" applyBorder="1" applyAlignment="1">
      <alignment horizontal="center" vertical="top" wrapText="1"/>
    </xf>
    <xf numFmtId="49" fontId="11" fillId="4" borderId="6" xfId="0" applyNumberFormat="1" applyFont="1" applyFill="1" applyBorder="1" applyAlignment="1">
      <alignment horizontal="center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right" vertical="top" wrapText="1"/>
    </xf>
    <xf numFmtId="0" fontId="20" fillId="4" borderId="6" xfId="0" applyFont="1" applyFill="1" applyBorder="1" applyAlignment="1">
      <alignment horizontal="right" vertical="top" wrapText="1"/>
    </xf>
    <xf numFmtId="0" fontId="20" fillId="4" borderId="4" xfId="0" applyFont="1" applyFill="1" applyBorder="1" applyAlignment="1">
      <alignment horizontal="right" vertical="top" wrapText="1"/>
    </xf>
    <xf numFmtId="49" fontId="20" fillId="4" borderId="2" xfId="0" applyNumberFormat="1" applyFont="1" applyFill="1" applyBorder="1" applyAlignment="1">
      <alignment horizontal="right" vertical="center" textRotation="90" wrapText="1"/>
    </xf>
    <xf numFmtId="49" fontId="20" fillId="4" borderId="4" xfId="0" applyNumberFormat="1" applyFont="1" applyFill="1" applyBorder="1" applyAlignment="1">
      <alignment horizontal="right" vertical="center" textRotation="90" wrapText="1"/>
    </xf>
    <xf numFmtId="0" fontId="20" fillId="4" borderId="1" xfId="0" applyFont="1" applyFill="1" applyBorder="1" applyAlignment="1">
      <alignment horizontal="right" vertical="top" wrapText="1"/>
    </xf>
    <xf numFmtId="49" fontId="11" fillId="4" borderId="2" xfId="0" applyNumberFormat="1" applyFont="1" applyFill="1" applyBorder="1" applyAlignment="1">
      <alignment horizontal="right" vertical="center" textRotation="90" wrapText="1"/>
    </xf>
    <xf numFmtId="49" fontId="11" fillId="4" borderId="4" xfId="0" applyNumberFormat="1" applyFont="1" applyFill="1" applyBorder="1" applyAlignment="1">
      <alignment horizontal="right" vertical="center" textRotation="90" wrapText="1"/>
    </xf>
    <xf numFmtId="49" fontId="11" fillId="4" borderId="1" xfId="0" applyNumberFormat="1" applyFont="1" applyFill="1" applyBorder="1" applyAlignment="1">
      <alignment horizontal="left" vertical="top" wrapText="1"/>
    </xf>
    <xf numFmtId="49" fontId="86" fillId="4" borderId="1" xfId="0" applyNumberFormat="1" applyFont="1" applyFill="1" applyBorder="1" applyAlignment="1">
      <alignment horizontal="right" vertical="top" wrapText="1"/>
    </xf>
    <xf numFmtId="49" fontId="72" fillId="13" borderId="1" xfId="0" applyNumberFormat="1" applyFont="1" applyFill="1" applyBorder="1" applyAlignment="1">
      <alignment horizontal="right" vertical="top" wrapText="1"/>
    </xf>
    <xf numFmtId="0" fontId="95" fillId="4" borderId="2" xfId="4" applyFont="1" applyFill="1" applyBorder="1" applyAlignment="1">
      <alignment horizontal="left" vertical="top" wrapText="1"/>
    </xf>
    <xf numFmtId="0" fontId="95" fillId="4" borderId="4" xfId="4" applyFont="1" applyFill="1" applyBorder="1" applyAlignment="1">
      <alignment horizontal="left" vertical="top" wrapText="1"/>
    </xf>
    <xf numFmtId="0" fontId="94" fillId="4" borderId="1" xfId="0" applyFont="1" applyFill="1" applyBorder="1" applyAlignment="1">
      <alignment horizontal="left" vertical="top" wrapText="1"/>
    </xf>
    <xf numFmtId="0" fontId="94" fillId="4" borderId="2" xfId="0" applyFont="1" applyFill="1" applyBorder="1" applyAlignment="1">
      <alignment horizontal="left" vertical="top" wrapText="1"/>
    </xf>
    <xf numFmtId="0" fontId="94" fillId="4" borderId="6" xfId="0" applyFont="1" applyFill="1" applyBorder="1" applyAlignment="1">
      <alignment horizontal="left" vertical="top" wrapText="1"/>
    </xf>
    <xf numFmtId="0" fontId="94" fillId="4" borderId="4" xfId="0" applyFont="1" applyFill="1" applyBorder="1" applyAlignment="1">
      <alignment horizontal="left" vertical="top" wrapText="1"/>
    </xf>
    <xf numFmtId="0" fontId="38" fillId="0" borderId="0" xfId="0" applyFont="1" applyAlignment="1">
      <alignment horizontal="center" vertical="top" wrapText="1"/>
    </xf>
    <xf numFmtId="0" fontId="127" fillId="0" borderId="1" xfId="0" applyFont="1" applyBorder="1" applyAlignment="1">
      <alignment horizontal="left" vertical="center" wrapText="1"/>
    </xf>
    <xf numFmtId="0" fontId="127" fillId="16" borderId="1" xfId="0" applyFont="1" applyFill="1" applyBorder="1" applyAlignment="1">
      <alignment horizontal="left" vertical="center" wrapText="1"/>
    </xf>
    <xf numFmtId="0" fontId="83" fillId="13" borderId="1" xfId="0" applyFont="1" applyFill="1" applyBorder="1" applyAlignment="1">
      <alignment horizontal="left" vertical="center" wrapText="1"/>
    </xf>
    <xf numFmtId="0" fontId="127" fillId="4" borderId="1" xfId="0" applyFont="1" applyFill="1" applyBorder="1" applyAlignment="1">
      <alignment horizontal="left" vertical="center" wrapText="1"/>
    </xf>
    <xf numFmtId="0" fontId="124" fillId="16" borderId="1" xfId="0" applyFont="1" applyFill="1" applyBorder="1" applyAlignment="1">
      <alignment horizontal="left" vertical="center" wrapText="1"/>
    </xf>
    <xf numFmtId="0" fontId="69" fillId="0" borderId="10" xfId="0" applyFont="1" applyBorder="1" applyAlignment="1">
      <alignment horizontal="center" vertical="top" wrapText="1"/>
    </xf>
    <xf numFmtId="0" fontId="129" fillId="4" borderId="0" xfId="0" applyFont="1" applyFill="1" applyAlignment="1">
      <alignment horizontal="left" vertical="top"/>
    </xf>
    <xf numFmtId="0" fontId="130" fillId="0" borderId="0" xfId="0" applyFont="1" applyAlignment="1">
      <alignment vertical="center"/>
    </xf>
    <xf numFmtId="0" fontId="45" fillId="4" borderId="0" xfId="0" applyFont="1" applyFill="1" applyAlignment="1">
      <alignment horizontal="center"/>
    </xf>
    <xf numFmtId="0" fontId="45" fillId="4" borderId="0" xfId="0" applyFont="1" applyFill="1" applyAlignment="1">
      <alignment horizontal="left" vertical="top"/>
    </xf>
    <xf numFmtId="0" fontId="49" fillId="4" borderId="0" xfId="0" applyFont="1" applyFill="1" applyAlignment="1">
      <alignment horizontal="right" vertical="top"/>
    </xf>
    <xf numFmtId="0" fontId="132" fillId="4" borderId="0" xfId="0" applyFont="1" applyFill="1" applyAlignment="1">
      <alignment horizontal="left" vertical="top"/>
    </xf>
    <xf numFmtId="0" fontId="45" fillId="2" borderId="0" xfId="0" applyFont="1" applyFill="1"/>
    <xf numFmtId="166" fontId="134" fillId="4" borderId="0" xfId="0" applyNumberFormat="1" applyFont="1" applyFill="1" applyAlignment="1">
      <alignment horizontal="center"/>
    </xf>
    <xf numFmtId="166" fontId="134" fillId="4" borderId="0" xfId="0" applyNumberFormat="1" applyFont="1" applyFill="1" applyAlignment="1">
      <alignment horizontal="left" vertical="top"/>
    </xf>
    <xf numFmtId="166" fontId="49" fillId="4" borderId="0" xfId="0" applyNumberFormat="1" applyFont="1" applyFill="1" applyAlignment="1">
      <alignment horizontal="right" vertical="top"/>
    </xf>
    <xf numFmtId="166" fontId="132" fillId="4" borderId="0" xfId="0" applyNumberFormat="1" applyFont="1" applyFill="1" applyAlignment="1">
      <alignment horizontal="left" vertical="top"/>
    </xf>
    <xf numFmtId="49" fontId="45" fillId="0" borderId="11" xfId="0" applyNumberFormat="1" applyFont="1" applyBorder="1" applyAlignment="1">
      <alignment horizontal="left" vertical="center" wrapText="1"/>
    </xf>
    <xf numFmtId="0" fontId="133" fillId="4" borderId="0" xfId="0" applyFont="1" applyFill="1" applyAlignment="1">
      <alignment horizontal="left" vertical="center"/>
    </xf>
    <xf numFmtId="0" fontId="133" fillId="19" borderId="0" xfId="0" applyFont="1" applyFill="1" applyAlignment="1">
      <alignment horizontal="left" vertical="center"/>
    </xf>
    <xf numFmtId="0" fontId="49" fillId="4" borderId="0" xfId="0" applyFont="1" applyFill="1" applyAlignment="1">
      <alignment horizontal="center" vertical="center"/>
    </xf>
    <xf numFmtId="166" fontId="49" fillId="4" borderId="0" xfId="0" applyNumberFormat="1" applyFont="1" applyFill="1" applyAlignment="1">
      <alignment horizontal="center" vertical="center"/>
    </xf>
    <xf numFmtId="0" fontId="133" fillId="0" borderId="0" xfId="0" applyFont="1" applyAlignment="1">
      <alignment horizontal="left" vertical="center"/>
    </xf>
    <xf numFmtId="0" fontId="133" fillId="2" borderId="0" xfId="0" applyFont="1" applyFill="1" applyAlignment="1">
      <alignment horizontal="left" vertical="center"/>
    </xf>
    <xf numFmtId="0" fontId="49" fillId="4" borderId="0" xfId="0" applyFont="1" applyFill="1" applyAlignment="1">
      <alignment horizontal="left" vertical="center"/>
    </xf>
    <xf numFmtId="166" fontId="133" fillId="19" borderId="0" xfId="0" applyNumberFormat="1" applyFont="1" applyFill="1" applyAlignment="1">
      <alignment horizontal="left" vertical="center"/>
    </xf>
    <xf numFmtId="166" fontId="49" fillId="4" borderId="0" xfId="0" applyNumberFormat="1" applyFont="1" applyFill="1" applyAlignment="1">
      <alignment horizontal="left" vertical="center"/>
    </xf>
    <xf numFmtId="166" fontId="107" fillId="5" borderId="0" xfId="0" applyNumberFormat="1" applyFont="1" applyFill="1" applyAlignment="1">
      <alignment horizontal="right" vertical="top" wrapText="1"/>
    </xf>
    <xf numFmtId="0" fontId="131" fillId="0" borderId="0" xfId="0" applyFont="1" applyAlignment="1">
      <alignment vertical="top" wrapText="1"/>
    </xf>
    <xf numFmtId="0" fontId="135" fillId="2" borderId="0" xfId="0" applyFont="1" applyFill="1" applyAlignment="1">
      <alignment vertical="top" wrapText="1"/>
    </xf>
    <xf numFmtId="4" fontId="136" fillId="0" borderId="0" xfId="0" applyNumberFormat="1" applyFont="1" applyAlignment="1">
      <alignment vertical="top" wrapText="1"/>
    </xf>
    <xf numFmtId="166" fontId="131" fillId="0" borderId="0" xfId="0" applyNumberFormat="1" applyFont="1" applyAlignment="1">
      <alignment vertical="top" wrapText="1"/>
    </xf>
    <xf numFmtId="0" fontId="137" fillId="0" borderId="0" xfId="0" applyFont="1" applyAlignment="1">
      <alignment wrapText="1"/>
    </xf>
    <xf numFmtId="0" fontId="138" fillId="2" borderId="0" xfId="0" applyFont="1" applyFill="1"/>
    <xf numFmtId="0" fontId="139" fillId="2" borderId="0" xfId="0" applyFont="1" applyFill="1"/>
    <xf numFmtId="0" fontId="131" fillId="0" borderId="9" xfId="0" applyFont="1" applyBorder="1" applyAlignment="1">
      <alignment horizontal="center" vertical="top" wrapText="1"/>
    </xf>
    <xf numFmtId="0" fontId="140" fillId="2" borderId="0" xfId="0" applyFont="1" applyFill="1" applyAlignment="1">
      <alignment vertical="top"/>
    </xf>
    <xf numFmtId="0" fontId="141" fillId="2" borderId="0" xfId="0" applyFont="1" applyFill="1" applyAlignment="1">
      <alignment vertical="top"/>
    </xf>
    <xf numFmtId="0" fontId="140" fillId="4" borderId="0" xfId="0" applyFont="1" applyFill="1" applyAlignment="1">
      <alignment vertical="top"/>
    </xf>
    <xf numFmtId="0" fontId="142" fillId="2" borderId="0" xfId="0" applyFont="1" applyFill="1" applyAlignment="1">
      <alignment vertical="top"/>
    </xf>
    <xf numFmtId="0" fontId="140" fillId="0" borderId="9" xfId="0" applyFont="1" applyBorder="1" applyAlignment="1">
      <alignment horizontal="center" vertical="top" wrapText="1"/>
    </xf>
    <xf numFmtId="166" fontId="143" fillId="2" borderId="0" xfId="0" applyNumberFormat="1" applyFont="1" applyFill="1" applyAlignment="1">
      <alignment vertical="top"/>
    </xf>
    <xf numFmtId="166" fontId="24" fillId="2" borderId="0" xfId="0" applyNumberFormat="1" applyFont="1" applyFill="1" applyAlignment="1">
      <alignment vertical="top"/>
    </xf>
    <xf numFmtId="166" fontId="143" fillId="8" borderId="0" xfId="0" applyNumberFormat="1" applyFont="1" applyFill="1" applyAlignment="1">
      <alignment horizontal="center" vertical="top" wrapText="1"/>
    </xf>
    <xf numFmtId="0" fontId="140" fillId="0" borderId="0" xfId="0" applyFont="1"/>
    <xf numFmtId="0" fontId="143" fillId="0" borderId="0" xfId="0" applyFont="1"/>
    <xf numFmtId="166" fontId="140" fillId="0" borderId="0" xfId="0" applyNumberFormat="1" applyFont="1"/>
    <xf numFmtId="0" fontId="141" fillId="2" borderId="0" xfId="0" applyFont="1" applyFill="1"/>
    <xf numFmtId="0" fontId="140" fillId="2" borderId="0" xfId="0" applyFont="1" applyFill="1"/>
    <xf numFmtId="0" fontId="144" fillId="2" borderId="0" xfId="0" applyFont="1" applyFill="1"/>
    <xf numFmtId="166" fontId="140" fillId="4" borderId="0" xfId="0" applyNumberFormat="1" applyFont="1" applyFill="1" applyAlignment="1">
      <alignment horizontal="left" vertical="top" wrapText="1"/>
    </xf>
    <xf numFmtId="49" fontId="101" fillId="19" borderId="2" xfId="0" applyNumberFormat="1" applyFont="1" applyFill="1" applyBorder="1" applyAlignment="1">
      <alignment horizontal="center" vertical="top" wrapText="1"/>
    </xf>
    <xf numFmtId="49" fontId="101" fillId="19" borderId="4" xfId="0" applyNumberFormat="1" applyFont="1" applyFill="1" applyBorder="1" applyAlignment="1">
      <alignment horizontal="center" vertical="top" wrapText="1"/>
    </xf>
    <xf numFmtId="0" fontId="140" fillId="0" borderId="0" xfId="0" applyFont="1" applyAlignment="1">
      <alignment vertical="top" wrapText="1"/>
    </xf>
    <xf numFmtId="0" fontId="145" fillId="0" borderId="0" xfId="0" applyFont="1" applyAlignment="1">
      <alignment horizontal="left" vertical="top" wrapText="1"/>
    </xf>
    <xf numFmtId="0" fontId="140" fillId="0" borderId="0" xfId="0" applyFont="1" applyAlignment="1">
      <alignment wrapText="1"/>
    </xf>
    <xf numFmtId="166" fontId="140" fillId="0" borderId="0" xfId="0" applyNumberFormat="1" applyFont="1" applyAlignment="1">
      <alignment vertical="top" wrapText="1"/>
    </xf>
    <xf numFmtId="0" fontId="145" fillId="0" borderId="0" xfId="0" applyFont="1" applyAlignment="1">
      <alignment wrapText="1"/>
    </xf>
    <xf numFmtId="0" fontId="143" fillId="2" borderId="0" xfId="0" applyFont="1" applyFill="1"/>
    <xf numFmtId="166" fontId="143" fillId="4" borderId="0" xfId="4" applyNumberFormat="1" applyFont="1" applyFill="1" applyAlignment="1">
      <alignment horizontal="center" vertical="top" wrapText="1"/>
    </xf>
    <xf numFmtId="0" fontId="131" fillId="0" borderId="0" xfId="0" applyFont="1"/>
    <xf numFmtId="166" fontId="131" fillId="0" borderId="0" xfId="0" applyNumberFormat="1" applyFont="1"/>
    <xf numFmtId="0" fontId="52" fillId="2" borderId="0" xfId="0" applyFont="1" applyFill="1"/>
    <xf numFmtId="0" fontId="134" fillId="4" borderId="0" xfId="0" applyFont="1" applyFill="1" applyAlignment="1">
      <alignment horizontal="left" vertical="top"/>
    </xf>
    <xf numFmtId="0" fontId="141" fillId="0" borderId="0" xfId="0" applyFont="1" applyAlignment="1">
      <alignment horizontal="center" vertical="top" wrapText="1"/>
    </xf>
    <xf numFmtId="166" fontId="113" fillId="19" borderId="1" xfId="0" applyNumberFormat="1" applyFont="1" applyFill="1" applyBorder="1" applyAlignment="1">
      <alignment vertical="top" wrapText="1"/>
    </xf>
    <xf numFmtId="166" fontId="125" fillId="19" borderId="1" xfId="0" applyNumberFormat="1" applyFont="1" applyFill="1" applyBorder="1" applyAlignment="1">
      <alignment vertical="top" wrapText="1"/>
    </xf>
    <xf numFmtId="166" fontId="141" fillId="0" borderId="0" xfId="0" applyNumberFormat="1" applyFont="1" applyAlignment="1">
      <alignment horizontal="center" vertical="top" wrapText="1"/>
    </xf>
  </cellXfs>
  <cellStyles count="13">
    <cellStyle name="Įprastas" xfId="0" builtinId="0"/>
    <cellStyle name="Įprastas 2" xfId="1" xr:uid="{00000000-0005-0000-0000-000001000000}"/>
    <cellStyle name="Įprastas 3" xfId="2" xr:uid="{00000000-0005-0000-0000-000002000000}"/>
    <cellStyle name="Įprastas 4" xfId="11" xr:uid="{00000000-0005-0000-0000-000003000000}"/>
    <cellStyle name="Kablelis 2" xfId="3" xr:uid="{00000000-0005-0000-0000-000004000000}"/>
    <cellStyle name="Normal 2" xfId="4" xr:uid="{00000000-0005-0000-0000-000005000000}"/>
    <cellStyle name="Normal 3" xfId="5" xr:uid="{00000000-0005-0000-0000-000006000000}"/>
    <cellStyle name="Normal_biudžetas 6_2009 m 02 men biudzetas." xfId="12" xr:uid="{00000000-0005-0000-0000-000007000000}"/>
    <cellStyle name="Normal_Sheet1" xfId="6" xr:uid="{00000000-0005-0000-0000-000008000000}"/>
    <cellStyle name="Paprastas 2" xfId="7" xr:uid="{00000000-0005-0000-0000-000009000000}"/>
    <cellStyle name="Paprastas_Lapas1" xfId="8" xr:uid="{00000000-0005-0000-0000-00000A000000}"/>
    <cellStyle name="Percent 2" xfId="10" xr:uid="{00000000-0005-0000-0000-00000B000000}"/>
    <cellStyle name="Procentai 2" xfId="9" xr:uid="{00000000-0005-0000-0000-00000C000000}"/>
  </cellStyles>
  <dxfs count="0"/>
  <tableStyles count="0" defaultTableStyle="TableStyleMedium9" defaultPivotStyle="PivotStyleLight16"/>
  <colors>
    <mruColors>
      <color rgb="FF009900"/>
      <color rgb="FF188A3E"/>
      <color rgb="FF00863D"/>
      <color rgb="FFF25CD5"/>
      <color rgb="FFFFFFB7"/>
      <color rgb="FFF5C000"/>
      <color rgb="FFFFFFCC"/>
      <color rgb="FF63E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P136"/>
  <sheetViews>
    <sheetView tabSelected="1" zoomScaleNormal="100" workbookViewId="0">
      <pane ySplit="17" topLeftCell="A18" activePane="bottomLeft" state="frozen"/>
      <selection activeCell="C27" sqref="C27:C28"/>
      <selection pane="bottomLeft" activeCell="S24" sqref="S24"/>
    </sheetView>
  </sheetViews>
  <sheetFormatPr defaultColWidth="9.140625" defaultRowHeight="15" x14ac:dyDescent="0.25"/>
  <cols>
    <col min="1" max="1" width="3.140625" style="30" customWidth="1"/>
    <col min="2" max="2" width="19.28515625" style="29" customWidth="1"/>
    <col min="3" max="3" width="56.85546875" style="110" customWidth="1"/>
    <col min="4" max="4" width="9.5703125" style="292" customWidth="1"/>
    <col min="5" max="5" width="13.140625" style="293" customWidth="1"/>
    <col min="6" max="6" width="16.140625" style="293" customWidth="1"/>
    <col min="7" max="7" width="13.140625" style="293" customWidth="1"/>
    <col min="8" max="8" width="14" style="293" customWidth="1"/>
    <col min="9" max="9" width="13.28515625" style="294" customWidth="1"/>
    <col min="10" max="10" width="49.5703125" style="295" customWidth="1"/>
    <col min="11" max="11" width="11.28515625" style="296" customWidth="1"/>
    <col min="12" max="12" width="14.85546875" style="296" customWidth="1"/>
    <col min="13" max="14" width="12" style="296" customWidth="1"/>
    <col min="15" max="15" width="52.140625" style="569" customWidth="1"/>
    <col min="16" max="16" width="7.7109375" style="1198" customWidth="1"/>
    <col min="17" max="16384" width="9.140625" style="30"/>
  </cols>
  <sheetData>
    <row r="1" spans="2:16" ht="21.75" hidden="1" customHeight="1" x14ac:dyDescent="0.25">
      <c r="J1" s="847" t="s">
        <v>860</v>
      </c>
      <c r="K1" s="847"/>
      <c r="L1" s="847"/>
      <c r="M1" s="847"/>
      <c r="N1" s="847"/>
      <c r="O1" s="582"/>
    </row>
    <row r="2" spans="2:16" ht="18" hidden="1" customHeight="1" x14ac:dyDescent="0.25">
      <c r="J2" s="847" t="s">
        <v>861</v>
      </c>
      <c r="K2" s="847"/>
      <c r="L2" s="847"/>
      <c r="M2" s="847"/>
      <c r="N2" s="847"/>
      <c r="O2" s="582"/>
    </row>
    <row r="3" spans="2:16" ht="17.25" hidden="1" customHeight="1" x14ac:dyDescent="0.25">
      <c r="J3" s="847" t="s">
        <v>941</v>
      </c>
      <c r="K3" s="847"/>
      <c r="L3" s="847"/>
      <c r="M3" s="847"/>
      <c r="N3" s="847"/>
      <c r="O3" s="582"/>
    </row>
    <row r="4" spans="2:16" hidden="1" x14ac:dyDescent="0.25">
      <c r="K4" s="295"/>
      <c r="L4" s="295"/>
    </row>
    <row r="5" spans="2:16" hidden="1" x14ac:dyDescent="0.25">
      <c r="K5" s="295"/>
      <c r="L5" s="295"/>
    </row>
    <row r="6" spans="2:16" hidden="1" x14ac:dyDescent="0.25">
      <c r="J6" s="295" t="s">
        <v>938</v>
      </c>
      <c r="N6" s="110"/>
    </row>
    <row r="7" spans="2:16" hidden="1" x14ac:dyDescent="0.25">
      <c r="J7" s="295" t="s">
        <v>862</v>
      </c>
      <c r="N7" s="110"/>
    </row>
    <row r="8" spans="2:16" ht="18.75" x14ac:dyDescent="0.25">
      <c r="N8" s="110"/>
      <c r="O8" s="1168" t="s">
        <v>1086</v>
      </c>
    </row>
    <row r="9" spans="2:16" s="441" customFormat="1" ht="30" customHeight="1" x14ac:dyDescent="0.3">
      <c r="B9" s="848" t="s">
        <v>932</v>
      </c>
      <c r="C9" s="848"/>
      <c r="D9" s="848"/>
      <c r="E9" s="848"/>
      <c r="F9" s="848"/>
      <c r="G9" s="848"/>
      <c r="H9" s="848"/>
      <c r="I9" s="848"/>
      <c r="J9" s="848"/>
      <c r="K9" s="848"/>
      <c r="L9" s="848"/>
      <c r="M9" s="848"/>
      <c r="N9" s="848"/>
      <c r="O9" s="582"/>
      <c r="P9" s="1199"/>
    </row>
    <row r="10" spans="2:16" s="438" customFormat="1" ht="15.75" x14ac:dyDescent="0.25">
      <c r="B10" s="403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570"/>
      <c r="P10" s="1200"/>
    </row>
    <row r="11" spans="2:16" s="439" customFormat="1" ht="26.25" customHeight="1" x14ac:dyDescent="0.25">
      <c r="B11" s="852" t="s">
        <v>1067</v>
      </c>
      <c r="C11" s="852"/>
      <c r="D11" s="852"/>
      <c r="E11" s="852"/>
      <c r="F11" s="852"/>
      <c r="G11" s="852"/>
      <c r="H11" s="852"/>
      <c r="I11" s="852"/>
      <c r="J11" s="852"/>
      <c r="K11" s="852"/>
      <c r="L11" s="852"/>
      <c r="M11" s="852"/>
      <c r="N11" s="852"/>
      <c r="O11" s="583"/>
      <c r="P11" s="1201"/>
    </row>
    <row r="12" spans="2:16" s="440" customFormat="1" ht="12.75" customHeight="1" x14ac:dyDescent="0.25">
      <c r="B12" s="406"/>
      <c r="C12" s="407"/>
      <c r="D12" s="408"/>
      <c r="E12" s="409"/>
      <c r="F12" s="409"/>
      <c r="G12" s="409"/>
      <c r="H12" s="409"/>
      <c r="I12" s="410"/>
      <c r="J12" s="411"/>
      <c r="K12" s="412"/>
      <c r="L12" s="412"/>
      <c r="M12" s="412"/>
      <c r="N12" s="412"/>
      <c r="O12" s="569"/>
      <c r="P12" s="1198"/>
    </row>
    <row r="13" spans="2:16" s="74" customFormat="1" ht="6.75" customHeight="1" x14ac:dyDescent="0.25">
      <c r="B13" s="29"/>
      <c r="C13" s="110"/>
      <c r="D13" s="292"/>
      <c r="E13" s="293"/>
      <c r="F13" s="293"/>
      <c r="G13" s="293"/>
      <c r="H13" s="293"/>
      <c r="I13" s="294"/>
      <c r="J13" s="295"/>
      <c r="K13" s="296"/>
      <c r="L13" s="296"/>
      <c r="M13" s="296"/>
      <c r="N13" s="296"/>
      <c r="O13" s="569"/>
      <c r="P13" s="1198"/>
    </row>
    <row r="15" spans="2:16" ht="27.75" customHeight="1" x14ac:dyDescent="0.2">
      <c r="B15" s="807" t="s">
        <v>27</v>
      </c>
      <c r="C15" s="819" t="s">
        <v>68</v>
      </c>
      <c r="D15" s="445"/>
      <c r="E15" s="822" t="s">
        <v>1091</v>
      </c>
      <c r="F15" s="784" t="s">
        <v>945</v>
      </c>
      <c r="G15" s="822" t="s">
        <v>266</v>
      </c>
      <c r="H15" s="822" t="s">
        <v>856</v>
      </c>
      <c r="I15" s="822" t="s">
        <v>174</v>
      </c>
      <c r="J15" s="822" t="s">
        <v>697</v>
      </c>
      <c r="K15" s="810" t="s">
        <v>863</v>
      </c>
      <c r="L15" s="811"/>
      <c r="M15" s="811"/>
      <c r="N15" s="812"/>
      <c r="O15" s="787" t="s">
        <v>946</v>
      </c>
      <c r="P15" s="1202" t="s">
        <v>1096</v>
      </c>
    </row>
    <row r="16" spans="2:16" ht="26.25" customHeight="1" x14ac:dyDescent="0.2">
      <c r="B16" s="808"/>
      <c r="C16" s="820"/>
      <c r="D16" s="446"/>
      <c r="E16" s="823"/>
      <c r="F16" s="785"/>
      <c r="G16" s="823"/>
      <c r="H16" s="823"/>
      <c r="I16" s="823"/>
      <c r="J16" s="823"/>
      <c r="K16" s="839" t="s">
        <v>455</v>
      </c>
      <c r="L16" s="882" t="s">
        <v>1090</v>
      </c>
      <c r="M16" s="839" t="s">
        <v>456</v>
      </c>
      <c r="N16" s="839" t="s">
        <v>721</v>
      </c>
      <c r="O16" s="788"/>
      <c r="P16" s="1202"/>
    </row>
    <row r="17" spans="2:16" ht="25.5" customHeight="1" x14ac:dyDescent="0.2">
      <c r="B17" s="809"/>
      <c r="C17" s="821"/>
      <c r="D17" s="446"/>
      <c r="E17" s="824"/>
      <c r="F17" s="786"/>
      <c r="G17" s="824"/>
      <c r="H17" s="824"/>
      <c r="I17" s="824"/>
      <c r="J17" s="824"/>
      <c r="K17" s="840"/>
      <c r="L17" s="883"/>
      <c r="M17" s="840"/>
      <c r="N17" s="840"/>
      <c r="O17" s="789"/>
      <c r="P17" s="1202"/>
    </row>
    <row r="18" spans="2:16" s="75" customFormat="1" ht="99" customHeight="1" x14ac:dyDescent="0.25">
      <c r="B18" s="422" t="s">
        <v>81</v>
      </c>
      <c r="C18" s="433" t="s">
        <v>288</v>
      </c>
      <c r="D18" s="437"/>
      <c r="E18" s="418">
        <f>SUM(E19:E30)</f>
        <v>45353.799999999996</v>
      </c>
      <c r="F18" s="418">
        <f t="shared" ref="F18:H18" si="0">SUM(F19:F30)</f>
        <v>46164.100000000006</v>
      </c>
      <c r="G18" s="418">
        <f t="shared" si="0"/>
        <v>48765</v>
      </c>
      <c r="H18" s="418">
        <f t="shared" si="0"/>
        <v>51107</v>
      </c>
      <c r="I18" s="419"/>
      <c r="J18" s="420" t="s">
        <v>516</v>
      </c>
      <c r="K18" s="421" t="s">
        <v>725</v>
      </c>
      <c r="L18" s="421" t="s">
        <v>725</v>
      </c>
      <c r="M18" s="421" t="s">
        <v>725</v>
      </c>
      <c r="N18" s="421" t="s">
        <v>725</v>
      </c>
      <c r="O18" s="584"/>
      <c r="P18" s="1203"/>
    </row>
    <row r="19" spans="2:16" ht="34.5" customHeight="1" x14ac:dyDescent="0.2">
      <c r="B19" s="865" t="s">
        <v>102</v>
      </c>
      <c r="C19" s="797" t="s">
        <v>99</v>
      </c>
      <c r="D19" s="193" t="s">
        <v>3</v>
      </c>
      <c r="E19" s="297">
        <f>27550.7+57.2+510.3</f>
        <v>28118.2</v>
      </c>
      <c r="F19" s="541">
        <f>29217+13.5+0.8</f>
        <v>29231.3</v>
      </c>
      <c r="G19" s="541">
        <v>31500</v>
      </c>
      <c r="H19" s="541">
        <v>33000</v>
      </c>
      <c r="I19" s="298" t="s">
        <v>189</v>
      </c>
      <c r="J19" s="193" t="s">
        <v>517</v>
      </c>
      <c r="K19" s="299">
        <v>97.7</v>
      </c>
      <c r="L19" s="299">
        <v>97.7</v>
      </c>
      <c r="M19" s="299">
        <v>97.7</v>
      </c>
      <c r="N19" s="299" t="s">
        <v>724</v>
      </c>
      <c r="O19" s="884" t="s">
        <v>1059</v>
      </c>
      <c r="P19" s="1203">
        <f>+F19-E19</f>
        <v>1113.0999999999985</v>
      </c>
    </row>
    <row r="20" spans="2:16" ht="29.25" customHeight="1" x14ac:dyDescent="0.2">
      <c r="B20" s="867"/>
      <c r="C20" s="798"/>
      <c r="D20" s="177" t="s">
        <v>0</v>
      </c>
      <c r="E20" s="129">
        <v>7908.4</v>
      </c>
      <c r="F20" s="539">
        <v>7644</v>
      </c>
      <c r="G20" s="130">
        <v>15700</v>
      </c>
      <c r="H20" s="130">
        <v>16500</v>
      </c>
      <c r="I20" s="300"/>
      <c r="J20" s="870" t="s">
        <v>518</v>
      </c>
      <c r="K20" s="831">
        <v>1.2</v>
      </c>
      <c r="L20" s="831">
        <v>1.2</v>
      </c>
      <c r="M20" s="831">
        <v>0</v>
      </c>
      <c r="N20" s="831">
        <v>0</v>
      </c>
      <c r="O20" s="885"/>
      <c r="P20" s="1203">
        <f t="shared" ref="P20:P83" si="1">+F20-E20</f>
        <v>-264.39999999999964</v>
      </c>
    </row>
    <row r="21" spans="2:16" ht="18.75" customHeight="1" x14ac:dyDescent="0.2">
      <c r="B21" s="867"/>
      <c r="C21" s="798"/>
      <c r="D21" s="177" t="s">
        <v>154</v>
      </c>
      <c r="E21" s="130">
        <v>7448</v>
      </c>
      <c r="F21" s="130">
        <v>7448</v>
      </c>
      <c r="G21" s="130">
        <v>0</v>
      </c>
      <c r="H21" s="130">
        <v>0</v>
      </c>
      <c r="I21" s="300"/>
      <c r="J21" s="871"/>
      <c r="K21" s="832"/>
      <c r="L21" s="832"/>
      <c r="M21" s="832"/>
      <c r="N21" s="832"/>
      <c r="O21" s="885"/>
      <c r="P21" s="1203">
        <f t="shared" si="1"/>
        <v>0</v>
      </c>
    </row>
    <row r="22" spans="2:16" ht="33.75" customHeight="1" x14ac:dyDescent="0.2">
      <c r="B22" s="866"/>
      <c r="C22" s="799"/>
      <c r="D22" s="177" t="s">
        <v>4</v>
      </c>
      <c r="E22" s="133">
        <v>1184.7</v>
      </c>
      <c r="F22" s="540">
        <v>1196.3</v>
      </c>
      <c r="G22" s="540">
        <v>1195</v>
      </c>
      <c r="H22" s="540">
        <v>1195</v>
      </c>
      <c r="I22" s="301"/>
      <c r="J22" s="302" t="s">
        <v>519</v>
      </c>
      <c r="K22" s="303">
        <v>0.5</v>
      </c>
      <c r="L22" s="303">
        <v>0.5</v>
      </c>
      <c r="M22" s="303">
        <v>0</v>
      </c>
      <c r="N22" s="303">
        <v>0</v>
      </c>
      <c r="O22" s="886"/>
      <c r="P22" s="1203">
        <f t="shared" si="1"/>
        <v>11.599999999999909</v>
      </c>
    </row>
    <row r="23" spans="2:16" ht="22.5" customHeight="1" x14ac:dyDescent="0.2">
      <c r="B23" s="865" t="s">
        <v>333</v>
      </c>
      <c r="C23" s="797" t="s">
        <v>999</v>
      </c>
      <c r="D23" s="145" t="s">
        <v>0</v>
      </c>
      <c r="E23" s="133">
        <v>50</v>
      </c>
      <c r="F23" s="610">
        <v>5</v>
      </c>
      <c r="G23" s="133">
        <v>0</v>
      </c>
      <c r="H23" s="133">
        <v>0</v>
      </c>
      <c r="I23" s="298" t="s">
        <v>176</v>
      </c>
      <c r="J23" s="815" t="s">
        <v>913</v>
      </c>
      <c r="K23" s="828">
        <v>15</v>
      </c>
      <c r="L23" s="828">
        <v>15</v>
      </c>
      <c r="M23" s="825"/>
      <c r="N23" s="825"/>
      <c r="O23" s="887" t="s">
        <v>1093</v>
      </c>
      <c r="P23" s="1203">
        <f t="shared" si="1"/>
        <v>-45</v>
      </c>
    </row>
    <row r="24" spans="2:16" ht="25.5" customHeight="1" x14ac:dyDescent="0.2">
      <c r="B24" s="867"/>
      <c r="C24" s="798"/>
      <c r="D24" s="145" t="s">
        <v>1</v>
      </c>
      <c r="E24" s="133">
        <v>5</v>
      </c>
      <c r="F24" s="133">
        <v>5</v>
      </c>
      <c r="G24" s="133">
        <v>0</v>
      </c>
      <c r="H24" s="133">
        <v>0</v>
      </c>
      <c r="I24" s="300"/>
      <c r="J24" s="841"/>
      <c r="K24" s="829"/>
      <c r="L24" s="829"/>
      <c r="M24" s="826"/>
      <c r="N24" s="826"/>
      <c r="O24" s="888"/>
      <c r="P24" s="1203">
        <f t="shared" si="1"/>
        <v>0</v>
      </c>
    </row>
    <row r="25" spans="2:16" ht="18.75" customHeight="1" x14ac:dyDescent="0.2">
      <c r="B25" s="866"/>
      <c r="C25" s="799"/>
      <c r="D25" s="145" t="s">
        <v>3</v>
      </c>
      <c r="E25" s="133">
        <v>281.39999999999998</v>
      </c>
      <c r="F25" s="133">
        <v>281.39999999999998</v>
      </c>
      <c r="G25" s="133">
        <v>0</v>
      </c>
      <c r="H25" s="133">
        <v>0</v>
      </c>
      <c r="I25" s="301"/>
      <c r="J25" s="816"/>
      <c r="K25" s="830"/>
      <c r="L25" s="830"/>
      <c r="M25" s="827"/>
      <c r="N25" s="827"/>
      <c r="O25" s="889"/>
      <c r="P25" s="1203">
        <f t="shared" si="1"/>
        <v>0</v>
      </c>
    </row>
    <row r="26" spans="2:16" ht="39" customHeight="1" x14ac:dyDescent="0.2">
      <c r="B26" s="22" t="s">
        <v>334</v>
      </c>
      <c r="C26" s="177" t="s">
        <v>914</v>
      </c>
      <c r="D26" s="177" t="s">
        <v>0</v>
      </c>
      <c r="E26" s="133">
        <v>15</v>
      </c>
      <c r="F26" s="610">
        <v>10</v>
      </c>
      <c r="G26" s="133">
        <v>15</v>
      </c>
      <c r="H26" s="133">
        <v>15</v>
      </c>
      <c r="I26" s="304" t="s">
        <v>450</v>
      </c>
      <c r="J26" s="177" t="s">
        <v>520</v>
      </c>
      <c r="K26" s="305" t="s">
        <v>521</v>
      </c>
      <c r="L26" s="305">
        <v>400</v>
      </c>
      <c r="M26" s="305" t="s">
        <v>521</v>
      </c>
      <c r="N26" s="305" t="s">
        <v>521</v>
      </c>
      <c r="O26" s="559" t="s">
        <v>1028</v>
      </c>
      <c r="P26" s="1203">
        <f t="shared" si="1"/>
        <v>-5</v>
      </c>
    </row>
    <row r="27" spans="2:16" ht="31.5" customHeight="1" x14ac:dyDescent="0.2">
      <c r="B27" s="98" t="s">
        <v>335</v>
      </c>
      <c r="C27" s="815" t="s">
        <v>801</v>
      </c>
      <c r="D27" s="177" t="s">
        <v>0</v>
      </c>
      <c r="E27" s="133">
        <v>40</v>
      </c>
      <c r="F27" s="133">
        <v>40</v>
      </c>
      <c r="G27" s="133">
        <v>30</v>
      </c>
      <c r="H27" s="133">
        <v>20</v>
      </c>
      <c r="I27" s="298" t="s">
        <v>188</v>
      </c>
      <c r="J27" s="815" t="s">
        <v>746</v>
      </c>
      <c r="K27" s="857" t="s">
        <v>747</v>
      </c>
      <c r="L27" s="857" t="s">
        <v>747</v>
      </c>
      <c r="M27" s="856" t="s">
        <v>748</v>
      </c>
      <c r="N27" s="856" t="s">
        <v>691</v>
      </c>
      <c r="O27" s="887"/>
      <c r="P27" s="1203">
        <f t="shared" si="1"/>
        <v>0</v>
      </c>
    </row>
    <row r="28" spans="2:16" ht="33" customHeight="1" x14ac:dyDescent="0.2">
      <c r="B28" s="99"/>
      <c r="C28" s="816"/>
      <c r="D28" s="177" t="s">
        <v>1</v>
      </c>
      <c r="E28" s="153">
        <v>80</v>
      </c>
      <c r="F28" s="153">
        <v>80</v>
      </c>
      <c r="G28" s="153">
        <v>100</v>
      </c>
      <c r="H28" s="153">
        <v>150</v>
      </c>
      <c r="I28" s="301"/>
      <c r="J28" s="816"/>
      <c r="K28" s="858"/>
      <c r="L28" s="858"/>
      <c r="M28" s="856"/>
      <c r="N28" s="856"/>
      <c r="O28" s="889"/>
      <c r="P28" s="1203">
        <f t="shared" si="1"/>
        <v>0</v>
      </c>
    </row>
    <row r="29" spans="2:16" ht="25.5" customHeight="1" x14ac:dyDescent="0.2">
      <c r="B29" s="98" t="s">
        <v>336</v>
      </c>
      <c r="C29" s="815" t="s">
        <v>123</v>
      </c>
      <c r="D29" s="177" t="s">
        <v>3</v>
      </c>
      <c r="E29" s="153">
        <v>102.1</v>
      </c>
      <c r="F29" s="153">
        <v>102.1</v>
      </c>
      <c r="G29" s="153">
        <v>104</v>
      </c>
      <c r="H29" s="153">
        <v>106</v>
      </c>
      <c r="I29" s="298" t="s">
        <v>188</v>
      </c>
      <c r="J29" s="815" t="s">
        <v>728</v>
      </c>
      <c r="K29" s="813" t="s">
        <v>992</v>
      </c>
      <c r="L29" s="813" t="s">
        <v>992</v>
      </c>
      <c r="M29" s="813" t="s">
        <v>992</v>
      </c>
      <c r="N29" s="813" t="s">
        <v>992</v>
      </c>
      <c r="O29" s="887"/>
      <c r="P29" s="1203">
        <f t="shared" si="1"/>
        <v>0</v>
      </c>
    </row>
    <row r="30" spans="2:16" ht="25.5" customHeight="1" x14ac:dyDescent="0.2">
      <c r="B30" s="99"/>
      <c r="C30" s="816"/>
      <c r="D30" s="177" t="s">
        <v>0</v>
      </c>
      <c r="E30" s="153">
        <v>121</v>
      </c>
      <c r="F30" s="153">
        <v>121</v>
      </c>
      <c r="G30" s="153">
        <v>121</v>
      </c>
      <c r="H30" s="153">
        <v>121</v>
      </c>
      <c r="I30" s="301"/>
      <c r="J30" s="816"/>
      <c r="K30" s="814"/>
      <c r="L30" s="814"/>
      <c r="M30" s="814"/>
      <c r="N30" s="814"/>
      <c r="O30" s="889"/>
      <c r="P30" s="1203">
        <f t="shared" si="1"/>
        <v>0</v>
      </c>
    </row>
    <row r="31" spans="2:16" s="75" customFormat="1" ht="40.5" customHeight="1" x14ac:dyDescent="0.25">
      <c r="B31" s="422" t="s">
        <v>105</v>
      </c>
      <c r="C31" s="433" t="s">
        <v>101</v>
      </c>
      <c r="D31" s="434"/>
      <c r="E31" s="418">
        <f t="shared" ref="E31:H31" si="2">SUM(E32:E39)</f>
        <v>3736.3999999999996</v>
      </c>
      <c r="F31" s="418">
        <f t="shared" si="2"/>
        <v>3720.7999999999997</v>
      </c>
      <c r="G31" s="418">
        <f t="shared" si="2"/>
        <v>4583</v>
      </c>
      <c r="H31" s="418">
        <f t="shared" si="2"/>
        <v>4344</v>
      </c>
      <c r="I31" s="419"/>
      <c r="J31" s="420" t="s">
        <v>522</v>
      </c>
      <c r="K31" s="421">
        <v>79.099999999999994</v>
      </c>
      <c r="L31" s="421">
        <v>79.099999999999994</v>
      </c>
      <c r="M31" s="421">
        <v>79.099999999999994</v>
      </c>
      <c r="N31" s="436">
        <v>7.91</v>
      </c>
      <c r="O31" s="584"/>
      <c r="P31" s="1203">
        <f t="shared" si="1"/>
        <v>-15.599999999999909</v>
      </c>
    </row>
    <row r="32" spans="2:16" ht="25.5" customHeight="1" x14ac:dyDescent="0.2">
      <c r="B32" s="865" t="s">
        <v>103</v>
      </c>
      <c r="C32" s="797" t="s">
        <v>412</v>
      </c>
      <c r="D32" s="177" t="s">
        <v>3</v>
      </c>
      <c r="E32" s="129">
        <v>73</v>
      </c>
      <c r="F32" s="539">
        <v>361</v>
      </c>
      <c r="G32" s="539">
        <v>420</v>
      </c>
      <c r="H32" s="539">
        <v>450</v>
      </c>
      <c r="I32" s="298" t="s">
        <v>175</v>
      </c>
      <c r="J32" s="815" t="s">
        <v>915</v>
      </c>
      <c r="K32" s="307" t="s">
        <v>837</v>
      </c>
      <c r="L32" s="307" t="s">
        <v>837</v>
      </c>
      <c r="M32" s="800" t="s">
        <v>837</v>
      </c>
      <c r="N32" s="800" t="s">
        <v>837</v>
      </c>
      <c r="O32" s="884" t="s">
        <v>1069</v>
      </c>
      <c r="P32" s="1203">
        <f t="shared" si="1"/>
        <v>288</v>
      </c>
    </row>
    <row r="33" spans="2:16" ht="30" customHeight="1" x14ac:dyDescent="0.2">
      <c r="B33" s="867"/>
      <c r="C33" s="798"/>
      <c r="D33" s="177" t="s">
        <v>0</v>
      </c>
      <c r="E33" s="129">
        <v>2526.6</v>
      </c>
      <c r="F33" s="539">
        <f>2526.6-204.6</f>
        <v>2322</v>
      </c>
      <c r="G33" s="129">
        <v>2750</v>
      </c>
      <c r="H33" s="129">
        <v>2990</v>
      </c>
      <c r="I33" s="300"/>
      <c r="J33" s="841"/>
      <c r="K33" s="310"/>
      <c r="L33" s="310"/>
      <c r="M33" s="801"/>
      <c r="N33" s="801"/>
      <c r="O33" s="885"/>
      <c r="P33" s="1203">
        <f t="shared" si="1"/>
        <v>-204.59999999999991</v>
      </c>
    </row>
    <row r="34" spans="2:16" ht="25.5" customHeight="1" x14ac:dyDescent="0.2">
      <c r="B34" s="866"/>
      <c r="C34" s="799"/>
      <c r="D34" s="177" t="s">
        <v>4</v>
      </c>
      <c r="E34" s="153">
        <v>395.1</v>
      </c>
      <c r="F34" s="153">
        <v>395.1</v>
      </c>
      <c r="G34" s="153">
        <v>395</v>
      </c>
      <c r="H34" s="153">
        <v>395</v>
      </c>
      <c r="I34" s="301"/>
      <c r="J34" s="816"/>
      <c r="K34" s="309"/>
      <c r="L34" s="309"/>
      <c r="M34" s="802"/>
      <c r="N34" s="802"/>
      <c r="O34" s="886"/>
      <c r="P34" s="1203">
        <f t="shared" si="1"/>
        <v>0</v>
      </c>
    </row>
    <row r="35" spans="2:16" ht="33.75" customHeight="1" x14ac:dyDescent="0.2">
      <c r="B35" s="98" t="s">
        <v>900</v>
      </c>
      <c r="C35" s="195" t="s">
        <v>309</v>
      </c>
      <c r="D35" s="177" t="s">
        <v>0</v>
      </c>
      <c r="E35" s="133">
        <v>80</v>
      </c>
      <c r="F35" s="610">
        <v>75</v>
      </c>
      <c r="G35" s="133">
        <v>80</v>
      </c>
      <c r="H35" s="133">
        <v>80</v>
      </c>
      <c r="I35" s="300"/>
      <c r="J35" s="177" t="s">
        <v>523</v>
      </c>
      <c r="K35" s="308" t="s">
        <v>527</v>
      </c>
      <c r="L35" s="308" t="s">
        <v>527</v>
      </c>
      <c r="M35" s="308" t="s">
        <v>527</v>
      </c>
      <c r="N35" s="308" t="s">
        <v>527</v>
      </c>
      <c r="O35" s="585" t="s">
        <v>1035</v>
      </c>
      <c r="P35" s="1203">
        <f t="shared" si="1"/>
        <v>-5</v>
      </c>
    </row>
    <row r="36" spans="2:16" ht="31.5" customHeight="1" x14ac:dyDescent="0.2">
      <c r="B36" s="99"/>
      <c r="C36" s="196"/>
      <c r="D36" s="176" t="s">
        <v>3</v>
      </c>
      <c r="E36" s="133">
        <v>361.7</v>
      </c>
      <c r="F36" s="133">
        <v>361.7</v>
      </c>
      <c r="G36" s="133">
        <v>369</v>
      </c>
      <c r="H36" s="133">
        <v>369</v>
      </c>
      <c r="I36" s="300" t="s">
        <v>175</v>
      </c>
      <c r="J36" s="177" t="s">
        <v>524</v>
      </c>
      <c r="K36" s="308" t="s">
        <v>528</v>
      </c>
      <c r="L36" s="308" t="s">
        <v>528</v>
      </c>
      <c r="M36" s="308" t="s">
        <v>528</v>
      </c>
      <c r="N36" s="308" t="s">
        <v>528</v>
      </c>
      <c r="O36" s="559"/>
      <c r="P36" s="1203">
        <f t="shared" si="1"/>
        <v>0</v>
      </c>
    </row>
    <row r="37" spans="2:16" ht="45.75" customHeight="1" x14ac:dyDescent="0.2">
      <c r="B37" s="98" t="s">
        <v>337</v>
      </c>
      <c r="C37" s="145" t="s">
        <v>448</v>
      </c>
      <c r="D37" s="177" t="s">
        <v>0</v>
      </c>
      <c r="E37" s="153">
        <v>0</v>
      </c>
      <c r="F37" s="153">
        <v>0</v>
      </c>
      <c r="G37" s="153">
        <v>60</v>
      </c>
      <c r="H37" s="153">
        <v>60</v>
      </c>
      <c r="I37" s="304" t="s">
        <v>187</v>
      </c>
      <c r="J37" s="311" t="s">
        <v>525</v>
      </c>
      <c r="K37" s="306" t="s">
        <v>749</v>
      </c>
      <c r="L37" s="306" t="s">
        <v>749</v>
      </c>
      <c r="M37" s="306" t="s">
        <v>749</v>
      </c>
      <c r="N37" s="306" t="s">
        <v>749</v>
      </c>
      <c r="O37" s="559"/>
      <c r="P37" s="1203">
        <f t="shared" si="1"/>
        <v>0</v>
      </c>
    </row>
    <row r="38" spans="2:16" s="7" customFormat="1" ht="45.75" customHeight="1" x14ac:dyDescent="0.2">
      <c r="B38" s="865" t="s">
        <v>338</v>
      </c>
      <c r="C38" s="815" t="s">
        <v>1000</v>
      </c>
      <c r="D38" s="177" t="s">
        <v>0</v>
      </c>
      <c r="E38" s="129">
        <v>45</v>
      </c>
      <c r="F38" s="611">
        <f>45-14</f>
        <v>31</v>
      </c>
      <c r="G38" s="611">
        <v>79</v>
      </c>
      <c r="H38" s="129">
        <v>0</v>
      </c>
      <c r="I38" s="298" t="s">
        <v>175</v>
      </c>
      <c r="J38" s="797" t="s">
        <v>526</v>
      </c>
      <c r="K38" s="872"/>
      <c r="L38" s="872"/>
      <c r="M38" s="845" t="s">
        <v>475</v>
      </c>
      <c r="N38" s="845"/>
      <c r="O38" s="890" t="s">
        <v>1070</v>
      </c>
      <c r="P38" s="1203">
        <f t="shared" si="1"/>
        <v>-14</v>
      </c>
    </row>
    <row r="39" spans="2:16" s="7" customFormat="1" ht="35.25" customHeight="1" x14ac:dyDescent="0.2">
      <c r="B39" s="866"/>
      <c r="C39" s="816"/>
      <c r="D39" s="177" t="s">
        <v>1</v>
      </c>
      <c r="E39" s="129">
        <v>255</v>
      </c>
      <c r="F39" s="611">
        <f>255-80</f>
        <v>175</v>
      </c>
      <c r="G39" s="611">
        <f>350+80</f>
        <v>430</v>
      </c>
      <c r="H39" s="129">
        <v>0</v>
      </c>
      <c r="I39" s="301"/>
      <c r="J39" s="799"/>
      <c r="K39" s="873"/>
      <c r="L39" s="873"/>
      <c r="M39" s="846"/>
      <c r="N39" s="846"/>
      <c r="O39" s="891"/>
      <c r="P39" s="1203">
        <f t="shared" si="1"/>
        <v>-80</v>
      </c>
    </row>
    <row r="40" spans="2:16" s="75" customFormat="1" ht="75" customHeight="1" x14ac:dyDescent="0.25">
      <c r="B40" s="422" t="s">
        <v>104</v>
      </c>
      <c r="C40" s="433" t="s">
        <v>308</v>
      </c>
      <c r="D40" s="434"/>
      <c r="E40" s="418">
        <f t="shared" ref="E40:H40" si="3">SUM(E41:E49)</f>
        <v>2487.6000000000004</v>
      </c>
      <c r="F40" s="418">
        <f t="shared" si="3"/>
        <v>2545.8000000000002</v>
      </c>
      <c r="G40" s="418">
        <f t="shared" si="3"/>
        <v>1367</v>
      </c>
      <c r="H40" s="418">
        <f t="shared" si="3"/>
        <v>808</v>
      </c>
      <c r="I40" s="419"/>
      <c r="J40" s="420" t="s">
        <v>530</v>
      </c>
      <c r="K40" s="435" t="s">
        <v>901</v>
      </c>
      <c r="L40" s="435" t="s">
        <v>901</v>
      </c>
      <c r="M40" s="435" t="s">
        <v>901</v>
      </c>
      <c r="N40" s="435" t="s">
        <v>901</v>
      </c>
      <c r="O40" s="584"/>
      <c r="P40" s="1203">
        <f t="shared" si="1"/>
        <v>58.199999999999818</v>
      </c>
    </row>
    <row r="41" spans="2:16" ht="20.25" customHeight="1" x14ac:dyDescent="0.2">
      <c r="B41" s="865" t="s">
        <v>107</v>
      </c>
      <c r="C41" s="797" t="s">
        <v>110</v>
      </c>
      <c r="D41" s="312" t="s">
        <v>3</v>
      </c>
      <c r="E41" s="153">
        <v>567.1</v>
      </c>
      <c r="F41" s="540">
        <f>567.1+58.2</f>
        <v>625.30000000000007</v>
      </c>
      <c r="G41" s="153">
        <v>585</v>
      </c>
      <c r="H41" s="153">
        <v>600</v>
      </c>
      <c r="I41" s="298" t="s">
        <v>177</v>
      </c>
      <c r="J41" s="815" t="s">
        <v>531</v>
      </c>
      <c r="K41" s="831" t="s">
        <v>535</v>
      </c>
      <c r="L41" s="831" t="s">
        <v>535</v>
      </c>
      <c r="M41" s="831" t="s">
        <v>535</v>
      </c>
      <c r="N41" s="831" t="s">
        <v>726</v>
      </c>
      <c r="O41" s="887" t="s">
        <v>1071</v>
      </c>
      <c r="P41" s="1203">
        <f t="shared" si="1"/>
        <v>58.200000000000045</v>
      </c>
    </row>
    <row r="42" spans="2:16" ht="20.25" customHeight="1" x14ac:dyDescent="0.2">
      <c r="B42" s="867"/>
      <c r="C42" s="798"/>
      <c r="D42" s="177" t="s">
        <v>0</v>
      </c>
      <c r="E42" s="153">
        <v>173.8</v>
      </c>
      <c r="F42" s="153">
        <v>173.8</v>
      </c>
      <c r="G42" s="153">
        <v>181</v>
      </c>
      <c r="H42" s="153">
        <v>192</v>
      </c>
      <c r="I42" s="300"/>
      <c r="J42" s="841"/>
      <c r="K42" s="851"/>
      <c r="L42" s="851"/>
      <c r="M42" s="851"/>
      <c r="N42" s="851"/>
      <c r="O42" s="888"/>
      <c r="P42" s="1203">
        <f t="shared" si="1"/>
        <v>0</v>
      </c>
    </row>
    <row r="43" spans="2:16" ht="20.25" customHeight="1" x14ac:dyDescent="0.2">
      <c r="B43" s="866"/>
      <c r="C43" s="799"/>
      <c r="D43" s="177" t="s">
        <v>4</v>
      </c>
      <c r="E43" s="153">
        <v>15.7</v>
      </c>
      <c r="F43" s="153">
        <v>15.7</v>
      </c>
      <c r="G43" s="153">
        <v>16</v>
      </c>
      <c r="H43" s="153">
        <v>16</v>
      </c>
      <c r="I43" s="301"/>
      <c r="J43" s="816"/>
      <c r="K43" s="832"/>
      <c r="L43" s="832"/>
      <c r="M43" s="832"/>
      <c r="N43" s="832"/>
      <c r="O43" s="889"/>
      <c r="P43" s="1203">
        <f t="shared" si="1"/>
        <v>0</v>
      </c>
    </row>
    <row r="44" spans="2:16" ht="30.75" customHeight="1" x14ac:dyDescent="0.2">
      <c r="B44" s="876" t="s">
        <v>108</v>
      </c>
      <c r="C44" s="862" t="s">
        <v>1001</v>
      </c>
      <c r="D44" s="177" t="s">
        <v>0</v>
      </c>
      <c r="E44" s="133">
        <v>195</v>
      </c>
      <c r="F44" s="133">
        <v>195</v>
      </c>
      <c r="G44" s="133">
        <v>60</v>
      </c>
      <c r="H44" s="133">
        <v>0</v>
      </c>
      <c r="I44" s="803" t="s">
        <v>184</v>
      </c>
      <c r="J44" s="862" t="s">
        <v>532</v>
      </c>
      <c r="K44" s="842"/>
      <c r="L44" s="842"/>
      <c r="M44" s="842" t="s">
        <v>495</v>
      </c>
      <c r="N44" s="842"/>
      <c r="O44" s="897"/>
      <c r="P44" s="1203">
        <f t="shared" si="1"/>
        <v>0</v>
      </c>
    </row>
    <row r="45" spans="2:16" ht="48" customHeight="1" x14ac:dyDescent="0.2">
      <c r="B45" s="876"/>
      <c r="C45" s="862"/>
      <c r="D45" s="177" t="s">
        <v>1</v>
      </c>
      <c r="E45" s="133">
        <v>1105</v>
      </c>
      <c r="F45" s="133">
        <v>1105</v>
      </c>
      <c r="G45" s="133">
        <v>257</v>
      </c>
      <c r="H45" s="133">
        <v>0</v>
      </c>
      <c r="I45" s="805"/>
      <c r="J45" s="862"/>
      <c r="K45" s="842"/>
      <c r="L45" s="842"/>
      <c r="M45" s="842"/>
      <c r="N45" s="842"/>
      <c r="O45" s="897"/>
      <c r="P45" s="1203">
        <f t="shared" si="1"/>
        <v>0</v>
      </c>
    </row>
    <row r="46" spans="2:16" ht="26.25" customHeight="1" x14ac:dyDescent="0.2">
      <c r="B46" s="876" t="s">
        <v>109</v>
      </c>
      <c r="C46" s="862" t="s">
        <v>1002</v>
      </c>
      <c r="D46" s="177" t="s">
        <v>0</v>
      </c>
      <c r="E46" s="133">
        <v>25</v>
      </c>
      <c r="F46" s="133">
        <v>25</v>
      </c>
      <c r="G46" s="133">
        <v>0</v>
      </c>
      <c r="H46" s="133">
        <v>0</v>
      </c>
      <c r="I46" s="803" t="s">
        <v>184</v>
      </c>
      <c r="J46" s="862" t="s">
        <v>533</v>
      </c>
      <c r="K46" s="842" t="s">
        <v>589</v>
      </c>
      <c r="L46" s="842" t="s">
        <v>589</v>
      </c>
      <c r="M46" s="862"/>
      <c r="N46" s="862"/>
      <c r="O46" s="897"/>
      <c r="P46" s="1203">
        <f t="shared" si="1"/>
        <v>0</v>
      </c>
    </row>
    <row r="47" spans="2:16" ht="30.75" customHeight="1" x14ac:dyDescent="0.2">
      <c r="B47" s="876"/>
      <c r="C47" s="862"/>
      <c r="D47" s="177" t="s">
        <v>1</v>
      </c>
      <c r="E47" s="133">
        <v>138</v>
      </c>
      <c r="F47" s="133">
        <v>138</v>
      </c>
      <c r="G47" s="133">
        <v>0</v>
      </c>
      <c r="H47" s="133">
        <v>0</v>
      </c>
      <c r="I47" s="805"/>
      <c r="J47" s="862"/>
      <c r="K47" s="842"/>
      <c r="L47" s="842"/>
      <c r="M47" s="862"/>
      <c r="N47" s="862"/>
      <c r="O47" s="897"/>
      <c r="P47" s="1203">
        <f t="shared" si="1"/>
        <v>0</v>
      </c>
    </row>
    <row r="48" spans="2:16" ht="38.25" customHeight="1" x14ac:dyDescent="0.2">
      <c r="B48" s="865" t="s">
        <v>106</v>
      </c>
      <c r="C48" s="877" t="s">
        <v>541</v>
      </c>
      <c r="D48" s="177" t="s">
        <v>1</v>
      </c>
      <c r="E48" s="133">
        <v>250</v>
      </c>
      <c r="F48" s="133">
        <v>250</v>
      </c>
      <c r="G48" s="133">
        <v>250</v>
      </c>
      <c r="H48" s="133">
        <v>0</v>
      </c>
      <c r="I48" s="803" t="s">
        <v>183</v>
      </c>
      <c r="J48" s="874" t="s">
        <v>534</v>
      </c>
      <c r="K48" s="831">
        <v>100</v>
      </c>
      <c r="L48" s="831">
        <v>100</v>
      </c>
      <c r="M48" s="831">
        <v>100</v>
      </c>
      <c r="N48" s="815"/>
      <c r="O48" s="898"/>
      <c r="P48" s="1203">
        <f t="shared" si="1"/>
        <v>0</v>
      </c>
    </row>
    <row r="49" spans="2:16" ht="31.5" customHeight="1" x14ac:dyDescent="0.2">
      <c r="B49" s="866"/>
      <c r="C49" s="877"/>
      <c r="D49" s="177" t="s">
        <v>3</v>
      </c>
      <c r="E49" s="133">
        <v>18</v>
      </c>
      <c r="F49" s="133">
        <v>18</v>
      </c>
      <c r="G49" s="133">
        <v>18</v>
      </c>
      <c r="H49" s="133">
        <v>0</v>
      </c>
      <c r="I49" s="805"/>
      <c r="J49" s="875"/>
      <c r="K49" s="832"/>
      <c r="L49" s="832"/>
      <c r="M49" s="832"/>
      <c r="N49" s="816"/>
      <c r="O49" s="899"/>
      <c r="P49" s="1203">
        <f t="shared" si="1"/>
        <v>0</v>
      </c>
    </row>
    <row r="50" spans="2:16" s="75" customFormat="1" ht="63" customHeight="1" x14ac:dyDescent="0.25">
      <c r="B50" s="422" t="s">
        <v>111</v>
      </c>
      <c r="C50" s="420" t="s">
        <v>310</v>
      </c>
      <c r="D50" s="420"/>
      <c r="E50" s="418">
        <f t="shared" ref="E50:H50" si="4">SUM(E51:E59)</f>
        <v>723.7</v>
      </c>
      <c r="F50" s="418">
        <f t="shared" si="4"/>
        <v>847.7</v>
      </c>
      <c r="G50" s="418">
        <f t="shared" si="4"/>
        <v>871.1</v>
      </c>
      <c r="H50" s="418">
        <f t="shared" si="4"/>
        <v>878.8</v>
      </c>
      <c r="I50" s="419"/>
      <c r="J50" s="420" t="s">
        <v>536</v>
      </c>
      <c r="K50" s="421" t="s">
        <v>727</v>
      </c>
      <c r="L50" s="421" t="s">
        <v>727</v>
      </c>
      <c r="M50" s="421" t="s">
        <v>727</v>
      </c>
      <c r="N50" s="421" t="s">
        <v>727</v>
      </c>
      <c r="O50" s="584"/>
      <c r="P50" s="1203">
        <f t="shared" si="1"/>
        <v>124</v>
      </c>
    </row>
    <row r="51" spans="2:16" ht="57" customHeight="1" x14ac:dyDescent="0.2">
      <c r="B51" s="22" t="s">
        <v>112</v>
      </c>
      <c r="C51" s="168" t="s">
        <v>716</v>
      </c>
      <c r="D51" s="177" t="s">
        <v>0</v>
      </c>
      <c r="E51" s="153">
        <v>120</v>
      </c>
      <c r="F51" s="153">
        <v>120</v>
      </c>
      <c r="G51" s="153">
        <v>120</v>
      </c>
      <c r="H51" s="153">
        <v>120</v>
      </c>
      <c r="I51" s="304" t="s">
        <v>180</v>
      </c>
      <c r="J51" s="177" t="s">
        <v>537</v>
      </c>
      <c r="K51" s="303">
        <v>5.9</v>
      </c>
      <c r="L51" s="303">
        <v>5.9</v>
      </c>
      <c r="M51" s="303">
        <v>5.9</v>
      </c>
      <c r="N51" s="303">
        <v>5.9</v>
      </c>
      <c r="O51" s="559"/>
      <c r="P51" s="1203">
        <f t="shared" si="1"/>
        <v>0</v>
      </c>
    </row>
    <row r="52" spans="2:16" ht="54" customHeight="1" x14ac:dyDescent="0.2">
      <c r="B52" s="22" t="s">
        <v>117</v>
      </c>
      <c r="C52" s="176" t="s">
        <v>561</v>
      </c>
      <c r="D52" s="177" t="s">
        <v>0</v>
      </c>
      <c r="E52" s="133">
        <v>112.8</v>
      </c>
      <c r="F52" s="133">
        <v>112.8</v>
      </c>
      <c r="G52" s="133">
        <v>112.8</v>
      </c>
      <c r="H52" s="133">
        <v>112.8</v>
      </c>
      <c r="I52" s="304" t="s">
        <v>178</v>
      </c>
      <c r="J52" s="177" t="s">
        <v>704</v>
      </c>
      <c r="K52" s="303">
        <v>100</v>
      </c>
      <c r="L52" s="303">
        <v>100</v>
      </c>
      <c r="M52" s="303">
        <v>100</v>
      </c>
      <c r="N52" s="303">
        <v>100</v>
      </c>
      <c r="O52" s="559"/>
      <c r="P52" s="1203">
        <f t="shared" si="1"/>
        <v>0</v>
      </c>
    </row>
    <row r="53" spans="2:16" ht="60.75" customHeight="1" x14ac:dyDescent="0.2">
      <c r="B53" s="22" t="s">
        <v>116</v>
      </c>
      <c r="C53" s="145" t="s">
        <v>113</v>
      </c>
      <c r="D53" s="145" t="s">
        <v>0</v>
      </c>
      <c r="E53" s="153">
        <v>30</v>
      </c>
      <c r="F53" s="612">
        <v>34</v>
      </c>
      <c r="G53" s="540">
        <v>35</v>
      </c>
      <c r="H53" s="540">
        <v>35</v>
      </c>
      <c r="I53" s="304" t="s">
        <v>179</v>
      </c>
      <c r="J53" s="177" t="s">
        <v>538</v>
      </c>
      <c r="K53" s="303" t="s">
        <v>750</v>
      </c>
      <c r="L53" s="630">
        <v>167</v>
      </c>
      <c r="M53" s="303" t="s">
        <v>750</v>
      </c>
      <c r="N53" s="303" t="s">
        <v>750</v>
      </c>
      <c r="O53" s="568" t="s">
        <v>1038</v>
      </c>
      <c r="P53" s="1203">
        <f t="shared" si="1"/>
        <v>4</v>
      </c>
    </row>
    <row r="54" spans="2:16" ht="48.75" customHeight="1" x14ac:dyDescent="0.2">
      <c r="B54" s="22" t="s">
        <v>115</v>
      </c>
      <c r="C54" s="145" t="s">
        <v>451</v>
      </c>
      <c r="D54" s="145" t="s">
        <v>0</v>
      </c>
      <c r="E54" s="153">
        <v>11</v>
      </c>
      <c r="F54" s="153">
        <v>11</v>
      </c>
      <c r="G54" s="153">
        <v>11</v>
      </c>
      <c r="H54" s="153">
        <v>11</v>
      </c>
      <c r="I54" s="313"/>
      <c r="J54" s="177" t="s">
        <v>705</v>
      </c>
      <c r="K54" s="305">
        <v>11</v>
      </c>
      <c r="L54" s="305">
        <v>11</v>
      </c>
      <c r="M54" s="305">
        <v>11</v>
      </c>
      <c r="N54" s="305">
        <v>11</v>
      </c>
      <c r="O54" s="559"/>
      <c r="P54" s="1203">
        <f t="shared" si="1"/>
        <v>0</v>
      </c>
    </row>
    <row r="55" spans="2:16" ht="45" customHeight="1" x14ac:dyDescent="0.2">
      <c r="B55" s="22" t="s">
        <v>1039</v>
      </c>
      <c r="C55" s="168" t="s">
        <v>114</v>
      </c>
      <c r="D55" s="145" t="s">
        <v>0</v>
      </c>
      <c r="E55" s="153">
        <v>30</v>
      </c>
      <c r="F55" s="153">
        <v>30</v>
      </c>
      <c r="G55" s="153">
        <v>30</v>
      </c>
      <c r="H55" s="153">
        <v>30</v>
      </c>
      <c r="I55" s="304" t="s">
        <v>181</v>
      </c>
      <c r="J55" s="177" t="s">
        <v>539</v>
      </c>
      <c r="K55" s="305">
        <v>100</v>
      </c>
      <c r="L55" s="305">
        <v>100</v>
      </c>
      <c r="M55" s="305">
        <v>100</v>
      </c>
      <c r="N55" s="305"/>
      <c r="O55" s="559"/>
      <c r="P55" s="1203">
        <f t="shared" si="1"/>
        <v>0</v>
      </c>
    </row>
    <row r="56" spans="2:16" ht="40.5" customHeight="1" x14ac:dyDescent="0.2">
      <c r="B56" s="22" t="s">
        <v>339</v>
      </c>
      <c r="C56" s="168" t="s">
        <v>120</v>
      </c>
      <c r="D56" s="145" t="s">
        <v>0</v>
      </c>
      <c r="E56" s="153">
        <v>89.9</v>
      </c>
      <c r="F56" s="153">
        <v>89.9</v>
      </c>
      <c r="G56" s="153">
        <v>77.3</v>
      </c>
      <c r="H56" s="153">
        <v>80</v>
      </c>
      <c r="I56" s="313" t="s">
        <v>182</v>
      </c>
      <c r="J56" s="311" t="s">
        <v>542</v>
      </c>
      <c r="K56" s="305">
        <v>29</v>
      </c>
      <c r="L56" s="305">
        <v>29</v>
      </c>
      <c r="M56" s="305">
        <v>29</v>
      </c>
      <c r="N56" s="305">
        <v>29</v>
      </c>
      <c r="O56" s="559"/>
      <c r="P56" s="1203">
        <f t="shared" si="1"/>
        <v>0</v>
      </c>
    </row>
    <row r="57" spans="2:16" ht="60.75" customHeight="1" x14ac:dyDescent="0.2">
      <c r="B57" s="22" t="s">
        <v>340</v>
      </c>
      <c r="C57" s="168" t="s">
        <v>733</v>
      </c>
      <c r="D57" s="145" t="s">
        <v>0</v>
      </c>
      <c r="E57" s="153">
        <v>30</v>
      </c>
      <c r="F57" s="153">
        <v>30</v>
      </c>
      <c r="G57" s="153">
        <v>35</v>
      </c>
      <c r="H57" s="153">
        <v>40</v>
      </c>
      <c r="I57" s="304" t="s">
        <v>186</v>
      </c>
      <c r="J57" s="177" t="s">
        <v>540</v>
      </c>
      <c r="K57" s="303" t="s">
        <v>751</v>
      </c>
      <c r="L57" s="303" t="s">
        <v>751</v>
      </c>
      <c r="M57" s="303" t="s">
        <v>902</v>
      </c>
      <c r="N57" s="303" t="s">
        <v>903</v>
      </c>
      <c r="O57" s="559"/>
      <c r="P57" s="1203">
        <f t="shared" si="1"/>
        <v>0</v>
      </c>
    </row>
    <row r="58" spans="2:16" ht="57" customHeight="1" x14ac:dyDescent="0.2">
      <c r="B58" s="22" t="s">
        <v>341</v>
      </c>
      <c r="C58" s="168" t="s">
        <v>413</v>
      </c>
      <c r="D58" s="145" t="s">
        <v>0</v>
      </c>
      <c r="E58" s="153">
        <v>150</v>
      </c>
      <c r="F58" s="540">
        <f>150+120</f>
        <v>270</v>
      </c>
      <c r="G58" s="153">
        <v>300</v>
      </c>
      <c r="H58" s="153">
        <v>300</v>
      </c>
      <c r="I58" s="304" t="s">
        <v>184</v>
      </c>
      <c r="J58" s="177" t="s">
        <v>905</v>
      </c>
      <c r="K58" s="305">
        <v>4</v>
      </c>
      <c r="L58" s="305">
        <v>4</v>
      </c>
      <c r="M58" s="305">
        <v>6</v>
      </c>
      <c r="N58" s="305">
        <v>8</v>
      </c>
      <c r="O58" s="559" t="s">
        <v>1088</v>
      </c>
      <c r="P58" s="1203">
        <f t="shared" si="1"/>
        <v>120</v>
      </c>
    </row>
    <row r="59" spans="2:16" ht="45.75" customHeight="1" x14ac:dyDescent="0.2">
      <c r="B59" s="22" t="s">
        <v>342</v>
      </c>
      <c r="C59" s="168" t="s">
        <v>414</v>
      </c>
      <c r="D59" s="145" t="s">
        <v>0</v>
      </c>
      <c r="E59" s="153">
        <v>150</v>
      </c>
      <c r="F59" s="153">
        <v>150</v>
      </c>
      <c r="G59" s="153">
        <v>150</v>
      </c>
      <c r="H59" s="153">
        <v>150</v>
      </c>
      <c r="I59" s="304" t="s">
        <v>185</v>
      </c>
      <c r="J59" s="177" t="s">
        <v>1024</v>
      </c>
      <c r="K59" s="306" t="s">
        <v>701</v>
      </c>
      <c r="L59" s="306" t="s">
        <v>496</v>
      </c>
      <c r="M59" s="306" t="s">
        <v>463</v>
      </c>
      <c r="N59" s="306" t="s">
        <v>463</v>
      </c>
      <c r="O59" s="559"/>
      <c r="P59" s="1203">
        <f t="shared" si="1"/>
        <v>0</v>
      </c>
    </row>
    <row r="60" spans="2:16" s="77" customFormat="1" ht="62.25" customHeight="1" x14ac:dyDescent="0.2">
      <c r="B60" s="422" t="s">
        <v>343</v>
      </c>
      <c r="C60" s="417" t="s">
        <v>415</v>
      </c>
      <c r="D60" s="417"/>
      <c r="E60" s="418">
        <f t="shared" ref="E60:H60" si="5">+E61+E62+E63</f>
        <v>102</v>
      </c>
      <c r="F60" s="418">
        <f t="shared" si="5"/>
        <v>102</v>
      </c>
      <c r="G60" s="418">
        <f t="shared" si="5"/>
        <v>110</v>
      </c>
      <c r="H60" s="418">
        <f t="shared" si="5"/>
        <v>120</v>
      </c>
      <c r="I60" s="432"/>
      <c r="J60" s="420" t="s">
        <v>884</v>
      </c>
      <c r="K60" s="425" t="s">
        <v>885</v>
      </c>
      <c r="L60" s="425" t="s">
        <v>885</v>
      </c>
      <c r="M60" s="425" t="s">
        <v>885</v>
      </c>
      <c r="N60" s="425" t="s">
        <v>885</v>
      </c>
      <c r="O60" s="584"/>
      <c r="P60" s="1203">
        <f t="shared" si="1"/>
        <v>0</v>
      </c>
    </row>
    <row r="61" spans="2:16" s="52" customFormat="1" ht="54" customHeight="1" x14ac:dyDescent="0.2">
      <c r="B61" s="15" t="s">
        <v>118</v>
      </c>
      <c r="C61" s="176" t="s">
        <v>416</v>
      </c>
      <c r="D61" s="176" t="s">
        <v>0</v>
      </c>
      <c r="E61" s="314">
        <v>25</v>
      </c>
      <c r="F61" s="314">
        <v>25</v>
      </c>
      <c r="G61" s="314">
        <v>25</v>
      </c>
      <c r="H61" s="314">
        <v>25</v>
      </c>
      <c r="I61" s="304" t="s">
        <v>217</v>
      </c>
      <c r="J61" s="315" t="s">
        <v>882</v>
      </c>
      <c r="K61" s="316">
        <v>1</v>
      </c>
      <c r="L61" s="316">
        <v>1</v>
      </c>
      <c r="M61" s="316">
        <v>1</v>
      </c>
      <c r="N61" s="316">
        <v>1</v>
      </c>
      <c r="O61" s="571"/>
      <c r="P61" s="1203">
        <f t="shared" si="1"/>
        <v>0</v>
      </c>
    </row>
    <row r="62" spans="2:16" s="2" customFormat="1" ht="42.75" customHeight="1" x14ac:dyDescent="0.2">
      <c r="B62" s="15" t="s">
        <v>119</v>
      </c>
      <c r="C62" s="171" t="s">
        <v>311</v>
      </c>
      <c r="D62" s="170" t="s">
        <v>0</v>
      </c>
      <c r="E62" s="314">
        <v>42</v>
      </c>
      <c r="F62" s="314">
        <v>42</v>
      </c>
      <c r="G62" s="314">
        <v>45</v>
      </c>
      <c r="H62" s="314">
        <v>50</v>
      </c>
      <c r="I62" s="304" t="s">
        <v>217</v>
      </c>
      <c r="J62" s="317" t="s">
        <v>457</v>
      </c>
      <c r="K62" s="316">
        <v>10</v>
      </c>
      <c r="L62" s="316">
        <v>10</v>
      </c>
      <c r="M62" s="316">
        <v>11</v>
      </c>
      <c r="N62" s="316">
        <v>12</v>
      </c>
      <c r="O62" s="572"/>
      <c r="P62" s="1203">
        <f t="shared" si="1"/>
        <v>0</v>
      </c>
    </row>
    <row r="63" spans="2:16" s="18" customFormat="1" ht="51" customHeight="1" x14ac:dyDescent="0.2">
      <c r="B63" s="15" t="s">
        <v>344</v>
      </c>
      <c r="C63" s="194" t="s">
        <v>883</v>
      </c>
      <c r="D63" s="176" t="s">
        <v>0</v>
      </c>
      <c r="E63" s="314">
        <v>35</v>
      </c>
      <c r="F63" s="314">
        <v>35</v>
      </c>
      <c r="G63" s="314">
        <v>40</v>
      </c>
      <c r="H63" s="314">
        <v>45</v>
      </c>
      <c r="I63" s="304" t="s">
        <v>218</v>
      </c>
      <c r="J63" s="315" t="s">
        <v>722</v>
      </c>
      <c r="K63" s="316">
        <v>35</v>
      </c>
      <c r="L63" s="316">
        <v>35</v>
      </c>
      <c r="M63" s="316">
        <v>40</v>
      </c>
      <c r="N63" s="316">
        <v>45</v>
      </c>
      <c r="O63" s="571"/>
      <c r="P63" s="1203">
        <f t="shared" si="1"/>
        <v>0</v>
      </c>
    </row>
    <row r="64" spans="2:16" s="77" customFormat="1" ht="46.5" customHeight="1" x14ac:dyDescent="0.2">
      <c r="B64" s="422" t="s">
        <v>121</v>
      </c>
      <c r="C64" s="417" t="s">
        <v>418</v>
      </c>
      <c r="D64" s="417"/>
      <c r="E64" s="418">
        <f t="shared" ref="E64:H64" si="6">+E65+E66+E67+E68+E69</f>
        <v>641</v>
      </c>
      <c r="F64" s="418">
        <f t="shared" si="6"/>
        <v>652.6</v>
      </c>
      <c r="G64" s="418">
        <f t="shared" si="6"/>
        <v>833.6</v>
      </c>
      <c r="H64" s="418">
        <f t="shared" si="6"/>
        <v>802</v>
      </c>
      <c r="I64" s="419"/>
      <c r="J64" s="431" t="s">
        <v>916</v>
      </c>
      <c r="K64" s="421" t="s">
        <v>730</v>
      </c>
      <c r="L64" s="421" t="s">
        <v>730</v>
      </c>
      <c r="M64" s="421" t="s">
        <v>730</v>
      </c>
      <c r="N64" s="421" t="s">
        <v>730</v>
      </c>
      <c r="O64" s="586"/>
      <c r="P64" s="1203">
        <f t="shared" si="1"/>
        <v>11.600000000000023</v>
      </c>
    </row>
    <row r="65" spans="2:16" s="52" customFormat="1" ht="60.75" customHeight="1" x14ac:dyDescent="0.2">
      <c r="B65" s="15" t="s">
        <v>122</v>
      </c>
      <c r="C65" s="318" t="s">
        <v>274</v>
      </c>
      <c r="D65" s="176" t="s">
        <v>0</v>
      </c>
      <c r="E65" s="129">
        <v>46</v>
      </c>
      <c r="F65" s="129">
        <v>46</v>
      </c>
      <c r="G65" s="129">
        <v>46</v>
      </c>
      <c r="H65" s="129">
        <v>47</v>
      </c>
      <c r="I65" s="304" t="s">
        <v>219</v>
      </c>
      <c r="J65" s="317" t="s">
        <v>499</v>
      </c>
      <c r="K65" s="319" t="s">
        <v>500</v>
      </c>
      <c r="L65" s="550" t="s">
        <v>980</v>
      </c>
      <c r="M65" s="319" t="s">
        <v>500</v>
      </c>
      <c r="N65" s="319" t="s">
        <v>500</v>
      </c>
      <c r="O65" s="572"/>
      <c r="P65" s="1203">
        <f t="shared" si="1"/>
        <v>0</v>
      </c>
    </row>
    <row r="66" spans="2:16" s="52" customFormat="1" ht="27.75" customHeight="1" x14ac:dyDescent="0.2">
      <c r="B66" s="868" t="s">
        <v>345</v>
      </c>
      <c r="C66" s="817" t="s">
        <v>419</v>
      </c>
      <c r="D66" s="176" t="s">
        <v>0</v>
      </c>
      <c r="E66" s="129">
        <v>28</v>
      </c>
      <c r="F66" s="129">
        <v>28</v>
      </c>
      <c r="G66" s="129">
        <v>28</v>
      </c>
      <c r="H66" s="129">
        <v>29</v>
      </c>
      <c r="I66" s="803" t="s">
        <v>444</v>
      </c>
      <c r="J66" s="837" t="s">
        <v>917</v>
      </c>
      <c r="K66" s="835" t="s">
        <v>729</v>
      </c>
      <c r="L66" s="833" t="s">
        <v>982</v>
      </c>
      <c r="M66" s="833" t="s">
        <v>981</v>
      </c>
      <c r="N66" s="833" t="s">
        <v>981</v>
      </c>
      <c r="O66" s="900" t="s">
        <v>1032</v>
      </c>
      <c r="P66" s="1203">
        <f t="shared" si="1"/>
        <v>0</v>
      </c>
    </row>
    <row r="67" spans="2:16" s="52" customFormat="1" ht="39.75" customHeight="1" x14ac:dyDescent="0.2">
      <c r="B67" s="869"/>
      <c r="C67" s="818"/>
      <c r="D67" s="176" t="s">
        <v>3</v>
      </c>
      <c r="E67" s="129">
        <v>32</v>
      </c>
      <c r="F67" s="539">
        <v>33.200000000000003</v>
      </c>
      <c r="G67" s="129">
        <v>32</v>
      </c>
      <c r="H67" s="129">
        <v>32</v>
      </c>
      <c r="I67" s="805"/>
      <c r="J67" s="838"/>
      <c r="K67" s="836"/>
      <c r="L67" s="834"/>
      <c r="M67" s="834"/>
      <c r="N67" s="834"/>
      <c r="O67" s="901"/>
      <c r="P67" s="1203">
        <f t="shared" si="1"/>
        <v>1.2000000000000028</v>
      </c>
    </row>
    <row r="68" spans="2:16" s="52" customFormat="1" ht="42" customHeight="1" x14ac:dyDescent="0.2">
      <c r="B68" s="868" t="s">
        <v>346</v>
      </c>
      <c r="C68" s="817" t="s">
        <v>420</v>
      </c>
      <c r="D68" s="176" t="s">
        <v>0</v>
      </c>
      <c r="E68" s="129">
        <v>135</v>
      </c>
      <c r="F68" s="613">
        <f>135+10.4</f>
        <v>145.4</v>
      </c>
      <c r="G68" s="614">
        <v>177.6</v>
      </c>
      <c r="H68" s="129">
        <v>104</v>
      </c>
      <c r="I68" s="803" t="s">
        <v>220</v>
      </c>
      <c r="J68" s="837" t="s">
        <v>1031</v>
      </c>
      <c r="K68" s="835" t="s">
        <v>557</v>
      </c>
      <c r="L68" s="843" t="s">
        <v>983</v>
      </c>
      <c r="M68" s="835" t="s">
        <v>464</v>
      </c>
      <c r="N68" s="835" t="s">
        <v>496</v>
      </c>
      <c r="O68" s="900" t="s">
        <v>1072</v>
      </c>
      <c r="P68" s="1203">
        <f t="shared" si="1"/>
        <v>10.400000000000006</v>
      </c>
    </row>
    <row r="69" spans="2:16" s="52" customFormat="1" ht="44.25" customHeight="1" x14ac:dyDescent="0.2">
      <c r="B69" s="869"/>
      <c r="C69" s="818"/>
      <c r="D69" s="176" t="s">
        <v>268</v>
      </c>
      <c r="E69" s="129">
        <v>400</v>
      </c>
      <c r="F69" s="129">
        <v>400</v>
      </c>
      <c r="G69" s="129">
        <v>550</v>
      </c>
      <c r="H69" s="129">
        <v>590</v>
      </c>
      <c r="I69" s="805"/>
      <c r="J69" s="838"/>
      <c r="K69" s="836"/>
      <c r="L69" s="844"/>
      <c r="M69" s="836"/>
      <c r="N69" s="836"/>
      <c r="O69" s="901"/>
      <c r="P69" s="1203">
        <f t="shared" si="1"/>
        <v>0</v>
      </c>
    </row>
    <row r="70" spans="2:16" s="78" customFormat="1" ht="57.75" customHeight="1" x14ac:dyDescent="0.2">
      <c r="B70" s="422" t="s">
        <v>347</v>
      </c>
      <c r="C70" s="420" t="s">
        <v>417</v>
      </c>
      <c r="D70" s="420"/>
      <c r="E70" s="418">
        <f t="shared" ref="E70:H70" si="7">SUM(E71:E83)</f>
        <v>6712.4999999999991</v>
      </c>
      <c r="F70" s="418">
        <f t="shared" si="7"/>
        <v>6951.9</v>
      </c>
      <c r="G70" s="418">
        <f t="shared" si="7"/>
        <v>6483.3</v>
      </c>
      <c r="H70" s="418">
        <f t="shared" si="7"/>
        <v>6943.3</v>
      </c>
      <c r="I70" s="419"/>
      <c r="J70" s="420" t="s">
        <v>715</v>
      </c>
      <c r="K70" s="430" t="s">
        <v>785</v>
      </c>
      <c r="L70" s="430" t="s">
        <v>785</v>
      </c>
      <c r="M70" s="430" t="s">
        <v>786</v>
      </c>
      <c r="N70" s="430" t="s">
        <v>786</v>
      </c>
      <c r="O70" s="584"/>
      <c r="P70" s="1203">
        <f t="shared" si="1"/>
        <v>239.40000000000055</v>
      </c>
    </row>
    <row r="71" spans="2:16" s="2" customFormat="1" ht="34.5" customHeight="1" x14ac:dyDescent="0.2">
      <c r="B71" s="881" t="s">
        <v>348</v>
      </c>
      <c r="C71" s="860" t="s">
        <v>71</v>
      </c>
      <c r="D71" s="318" t="s">
        <v>0</v>
      </c>
      <c r="E71" s="129">
        <v>1706.4</v>
      </c>
      <c r="F71" s="129">
        <v>1706.4</v>
      </c>
      <c r="G71" s="129">
        <v>1800</v>
      </c>
      <c r="H71" s="129">
        <v>1900</v>
      </c>
      <c r="I71" s="803" t="s">
        <v>216</v>
      </c>
      <c r="J71" s="318" t="s">
        <v>543</v>
      </c>
      <c r="K71" s="305" t="s">
        <v>784</v>
      </c>
      <c r="L71" s="305" t="s">
        <v>784</v>
      </c>
      <c r="M71" s="305" t="s">
        <v>784</v>
      </c>
      <c r="N71" s="305" t="s">
        <v>784</v>
      </c>
      <c r="O71" s="573"/>
      <c r="P71" s="1203">
        <f t="shared" si="1"/>
        <v>0</v>
      </c>
    </row>
    <row r="72" spans="2:16" s="2" customFormat="1" ht="24" customHeight="1" x14ac:dyDescent="0.2">
      <c r="B72" s="881"/>
      <c r="C72" s="860"/>
      <c r="D72" s="318" t="s">
        <v>4</v>
      </c>
      <c r="E72" s="129">
        <v>12.7</v>
      </c>
      <c r="F72" s="129">
        <v>12.7</v>
      </c>
      <c r="G72" s="129">
        <v>13</v>
      </c>
      <c r="H72" s="129">
        <v>13</v>
      </c>
      <c r="I72" s="804"/>
      <c r="J72" s="859" t="s">
        <v>544</v>
      </c>
      <c r="K72" s="861" t="s">
        <v>787</v>
      </c>
      <c r="L72" s="861" t="s">
        <v>787</v>
      </c>
      <c r="M72" s="861" t="s">
        <v>787</v>
      </c>
      <c r="N72" s="861" t="s">
        <v>787</v>
      </c>
      <c r="O72" s="902"/>
      <c r="P72" s="1203">
        <f t="shared" si="1"/>
        <v>0</v>
      </c>
    </row>
    <row r="73" spans="2:16" s="2" customFormat="1" ht="23.25" customHeight="1" x14ac:dyDescent="0.2">
      <c r="B73" s="881"/>
      <c r="C73" s="860"/>
      <c r="D73" s="318" t="s">
        <v>3</v>
      </c>
      <c r="E73" s="129">
        <v>55.6</v>
      </c>
      <c r="F73" s="129">
        <v>55.6</v>
      </c>
      <c r="G73" s="129">
        <v>55.6</v>
      </c>
      <c r="H73" s="129">
        <v>55.6</v>
      </c>
      <c r="I73" s="805"/>
      <c r="J73" s="859"/>
      <c r="K73" s="861"/>
      <c r="L73" s="861"/>
      <c r="M73" s="861"/>
      <c r="N73" s="861"/>
      <c r="O73" s="902"/>
      <c r="P73" s="1203">
        <f t="shared" si="1"/>
        <v>0</v>
      </c>
    </row>
    <row r="74" spans="2:16" s="2" customFormat="1" ht="21" customHeight="1" x14ac:dyDescent="0.2">
      <c r="B74" s="863" t="s">
        <v>349</v>
      </c>
      <c r="C74" s="862" t="s">
        <v>421</v>
      </c>
      <c r="D74" s="177" t="s">
        <v>0</v>
      </c>
      <c r="E74" s="130">
        <f>916.4+8-3</f>
        <v>921.4</v>
      </c>
      <c r="F74" s="130">
        <f>916.4+8-3</f>
        <v>921.4</v>
      </c>
      <c r="G74" s="129">
        <v>950</v>
      </c>
      <c r="H74" s="129">
        <v>995</v>
      </c>
      <c r="I74" s="803" t="s">
        <v>216</v>
      </c>
      <c r="J74" s="864" t="s">
        <v>545</v>
      </c>
      <c r="K74" s="861" t="s">
        <v>548</v>
      </c>
      <c r="L74" s="861" t="s">
        <v>548</v>
      </c>
      <c r="M74" s="861" t="s">
        <v>548</v>
      </c>
      <c r="N74" s="861" t="s">
        <v>548</v>
      </c>
      <c r="O74" s="903"/>
      <c r="P74" s="1203">
        <f t="shared" si="1"/>
        <v>0</v>
      </c>
    </row>
    <row r="75" spans="2:16" s="2" customFormat="1" ht="17.25" customHeight="1" x14ac:dyDescent="0.2">
      <c r="B75" s="863"/>
      <c r="C75" s="862"/>
      <c r="D75" s="177" t="s">
        <v>3</v>
      </c>
      <c r="E75" s="130">
        <v>0</v>
      </c>
      <c r="F75" s="130">
        <v>0</v>
      </c>
      <c r="G75" s="129">
        <v>0</v>
      </c>
      <c r="H75" s="129">
        <v>0</v>
      </c>
      <c r="I75" s="804"/>
      <c r="J75" s="864"/>
      <c r="K75" s="861"/>
      <c r="L75" s="861"/>
      <c r="M75" s="861"/>
      <c r="N75" s="861"/>
      <c r="O75" s="903"/>
      <c r="P75" s="1203">
        <f t="shared" si="1"/>
        <v>0</v>
      </c>
    </row>
    <row r="76" spans="2:16" s="2" customFormat="1" ht="30" customHeight="1" x14ac:dyDescent="0.2">
      <c r="B76" s="863"/>
      <c r="C76" s="862"/>
      <c r="D76" s="177" t="s">
        <v>4</v>
      </c>
      <c r="E76" s="130">
        <v>64.2</v>
      </c>
      <c r="F76" s="658">
        <v>64.7</v>
      </c>
      <c r="G76" s="130">
        <v>65</v>
      </c>
      <c r="H76" s="129">
        <v>65</v>
      </c>
      <c r="I76" s="805"/>
      <c r="J76" s="320" t="s">
        <v>546</v>
      </c>
      <c r="K76" s="305" t="s">
        <v>549</v>
      </c>
      <c r="L76" s="305" t="s">
        <v>549</v>
      </c>
      <c r="M76" s="305" t="s">
        <v>549</v>
      </c>
      <c r="N76" s="305" t="s">
        <v>549</v>
      </c>
      <c r="O76" s="574" t="s">
        <v>1044</v>
      </c>
      <c r="P76" s="1203">
        <f t="shared" si="1"/>
        <v>0.5</v>
      </c>
    </row>
    <row r="77" spans="2:16" s="2" customFormat="1" ht="21" customHeight="1" x14ac:dyDescent="0.2">
      <c r="B77" s="863" t="s">
        <v>350</v>
      </c>
      <c r="C77" s="860" t="s">
        <v>72</v>
      </c>
      <c r="D77" s="177" t="s">
        <v>0</v>
      </c>
      <c r="E77" s="129">
        <v>3484</v>
      </c>
      <c r="F77" s="539">
        <f>3484+6.9</f>
        <v>3490.9</v>
      </c>
      <c r="G77" s="130">
        <v>3200</v>
      </c>
      <c r="H77" s="130">
        <v>3500</v>
      </c>
      <c r="I77" s="803" t="s">
        <v>216</v>
      </c>
      <c r="J77" s="864" t="s">
        <v>550</v>
      </c>
      <c r="K77" s="853" t="s">
        <v>788</v>
      </c>
      <c r="L77" s="853" t="s">
        <v>788</v>
      </c>
      <c r="M77" s="853" t="s">
        <v>788</v>
      </c>
      <c r="N77" s="853" t="s">
        <v>788</v>
      </c>
      <c r="O77" s="903" t="s">
        <v>1029</v>
      </c>
      <c r="P77" s="1203">
        <f t="shared" si="1"/>
        <v>6.9000000000000909</v>
      </c>
    </row>
    <row r="78" spans="2:16" s="2" customFormat="1" ht="21" customHeight="1" x14ac:dyDescent="0.2">
      <c r="B78" s="863"/>
      <c r="C78" s="860"/>
      <c r="D78" s="177" t="s">
        <v>3</v>
      </c>
      <c r="E78" s="129">
        <v>0</v>
      </c>
      <c r="F78" s="539">
        <v>150</v>
      </c>
      <c r="G78" s="130">
        <v>0</v>
      </c>
      <c r="H78" s="130">
        <v>0</v>
      </c>
      <c r="I78" s="804"/>
      <c r="J78" s="864"/>
      <c r="K78" s="854"/>
      <c r="L78" s="854"/>
      <c r="M78" s="854"/>
      <c r="N78" s="854"/>
      <c r="O78" s="903"/>
      <c r="P78" s="1203">
        <f t="shared" si="1"/>
        <v>150</v>
      </c>
    </row>
    <row r="79" spans="2:16" s="2" customFormat="1" ht="21" customHeight="1" x14ac:dyDescent="0.2">
      <c r="B79" s="863"/>
      <c r="C79" s="860"/>
      <c r="D79" s="145" t="s">
        <v>4</v>
      </c>
      <c r="E79" s="129">
        <v>97.1</v>
      </c>
      <c r="F79" s="658">
        <v>114</v>
      </c>
      <c r="G79" s="129">
        <v>100</v>
      </c>
      <c r="H79" s="129">
        <v>100</v>
      </c>
      <c r="I79" s="805"/>
      <c r="J79" s="864"/>
      <c r="K79" s="855"/>
      <c r="L79" s="855"/>
      <c r="M79" s="855"/>
      <c r="N79" s="855"/>
      <c r="O79" s="903"/>
      <c r="P79" s="1203">
        <f t="shared" si="1"/>
        <v>16.900000000000006</v>
      </c>
    </row>
    <row r="80" spans="2:16" s="19" customFormat="1" ht="56.25" customHeight="1" x14ac:dyDescent="0.2">
      <c r="B80" s="15" t="s">
        <v>351</v>
      </c>
      <c r="C80" s="176" t="s">
        <v>69</v>
      </c>
      <c r="D80" s="177" t="s">
        <v>0</v>
      </c>
      <c r="E80" s="132">
        <v>27.7</v>
      </c>
      <c r="F80" s="132">
        <v>27.7</v>
      </c>
      <c r="G80" s="132">
        <v>27.7</v>
      </c>
      <c r="H80" s="132">
        <v>27.7</v>
      </c>
      <c r="I80" s="321"/>
      <c r="J80" s="177" t="s">
        <v>572</v>
      </c>
      <c r="K80" s="305">
        <v>100</v>
      </c>
      <c r="L80" s="305">
        <v>100</v>
      </c>
      <c r="M80" s="305">
        <v>100</v>
      </c>
      <c r="N80" s="305">
        <v>100</v>
      </c>
      <c r="O80" s="559"/>
      <c r="P80" s="1203">
        <f t="shared" si="1"/>
        <v>0</v>
      </c>
    </row>
    <row r="81" spans="2:16" s="52" customFormat="1" ht="57.75" customHeight="1" x14ac:dyDescent="0.2">
      <c r="B81" s="868" t="s">
        <v>352</v>
      </c>
      <c r="C81" s="879" t="s">
        <v>275</v>
      </c>
      <c r="D81" s="177" t="s">
        <v>0</v>
      </c>
      <c r="E81" s="322">
        <v>296.39999999999998</v>
      </c>
      <c r="F81" s="322">
        <v>296.39999999999998</v>
      </c>
      <c r="G81" s="322">
        <v>220</v>
      </c>
      <c r="H81" s="322">
        <v>230</v>
      </c>
      <c r="I81" s="803" t="s">
        <v>271</v>
      </c>
      <c r="J81" s="815" t="s">
        <v>918</v>
      </c>
      <c r="K81" s="849" t="s">
        <v>551</v>
      </c>
      <c r="L81" s="892" t="s">
        <v>984</v>
      </c>
      <c r="M81" s="849" t="s">
        <v>551</v>
      </c>
      <c r="N81" s="849" t="s">
        <v>551</v>
      </c>
      <c r="O81" s="887" t="s">
        <v>1045</v>
      </c>
      <c r="P81" s="1203">
        <f t="shared" si="1"/>
        <v>0</v>
      </c>
    </row>
    <row r="82" spans="2:16" s="54" customFormat="1" ht="54" customHeight="1" x14ac:dyDescent="0.2">
      <c r="B82" s="869"/>
      <c r="C82" s="880"/>
      <c r="D82" s="177" t="s">
        <v>3</v>
      </c>
      <c r="E82" s="314">
        <v>2</v>
      </c>
      <c r="F82" s="659">
        <f>2+12.5+52.6</f>
        <v>67.099999999999994</v>
      </c>
      <c r="G82" s="314">
        <v>2</v>
      </c>
      <c r="H82" s="314">
        <v>2</v>
      </c>
      <c r="I82" s="805"/>
      <c r="J82" s="816"/>
      <c r="K82" s="850"/>
      <c r="L82" s="893"/>
      <c r="M82" s="850"/>
      <c r="N82" s="850"/>
      <c r="O82" s="889"/>
      <c r="P82" s="1203">
        <f t="shared" si="1"/>
        <v>65.099999999999994</v>
      </c>
    </row>
    <row r="83" spans="2:16" s="54" customFormat="1" ht="45" customHeight="1" x14ac:dyDescent="0.2">
      <c r="B83" s="15" t="s">
        <v>353</v>
      </c>
      <c r="C83" s="172" t="s">
        <v>73</v>
      </c>
      <c r="D83" s="177" t="s">
        <v>0</v>
      </c>
      <c r="E83" s="314">
        <v>45</v>
      </c>
      <c r="F83" s="314">
        <v>45</v>
      </c>
      <c r="G83" s="314">
        <v>50</v>
      </c>
      <c r="H83" s="314">
        <v>55</v>
      </c>
      <c r="I83" s="304" t="s">
        <v>215</v>
      </c>
      <c r="J83" s="177" t="s">
        <v>547</v>
      </c>
      <c r="K83" s="323" t="s">
        <v>789</v>
      </c>
      <c r="L83" s="551" t="s">
        <v>985</v>
      </c>
      <c r="M83" s="323" t="s">
        <v>789</v>
      </c>
      <c r="N83" s="323" t="s">
        <v>789</v>
      </c>
      <c r="O83" s="559" t="s">
        <v>1030</v>
      </c>
      <c r="P83" s="1203">
        <f t="shared" si="1"/>
        <v>0</v>
      </c>
    </row>
    <row r="84" spans="2:16" s="76" customFormat="1" ht="66" customHeight="1" x14ac:dyDescent="0.2">
      <c r="B84" s="416" t="s">
        <v>354</v>
      </c>
      <c r="C84" s="417" t="s">
        <v>312</v>
      </c>
      <c r="D84" s="417"/>
      <c r="E84" s="418">
        <f t="shared" ref="E84:H84" si="8">SUM(E85:E92)</f>
        <v>2172.8999999999996</v>
      </c>
      <c r="F84" s="418">
        <f t="shared" si="8"/>
        <v>2147.8999999999996</v>
      </c>
      <c r="G84" s="418">
        <f t="shared" si="8"/>
        <v>2151.8000000000002</v>
      </c>
      <c r="H84" s="418">
        <f t="shared" si="8"/>
        <v>2248.3000000000002</v>
      </c>
      <c r="I84" s="419"/>
      <c r="J84" s="420" t="s">
        <v>505</v>
      </c>
      <c r="K84" s="421" t="s">
        <v>504</v>
      </c>
      <c r="L84" s="421" t="s">
        <v>504</v>
      </c>
      <c r="M84" s="421" t="s">
        <v>504</v>
      </c>
      <c r="N84" s="421" t="s">
        <v>504</v>
      </c>
      <c r="O84" s="584"/>
      <c r="P84" s="1203">
        <f t="shared" ref="P84:P112" si="9">+F84-E84</f>
        <v>-25</v>
      </c>
    </row>
    <row r="85" spans="2:16" s="3" customFormat="1" ht="46.5" customHeight="1" x14ac:dyDescent="0.2">
      <c r="B85" s="15" t="s">
        <v>355</v>
      </c>
      <c r="C85" s="171" t="s">
        <v>736</v>
      </c>
      <c r="D85" s="318" t="s">
        <v>0</v>
      </c>
      <c r="E85" s="128">
        <v>104.8</v>
      </c>
      <c r="F85" s="128">
        <v>104.8</v>
      </c>
      <c r="G85" s="128">
        <v>105</v>
      </c>
      <c r="H85" s="128">
        <v>110</v>
      </c>
      <c r="I85" s="304" t="s">
        <v>208</v>
      </c>
      <c r="J85" s="177" t="s">
        <v>790</v>
      </c>
      <c r="K85" s="324" t="s">
        <v>494</v>
      </c>
      <c r="L85" s="324" t="s">
        <v>494</v>
      </c>
      <c r="M85" s="324" t="s">
        <v>494</v>
      </c>
      <c r="N85" s="324" t="s">
        <v>494</v>
      </c>
      <c r="O85" s="559"/>
      <c r="P85" s="1203">
        <f t="shared" si="9"/>
        <v>0</v>
      </c>
    </row>
    <row r="86" spans="2:16" s="3" customFormat="1" ht="46.5" customHeight="1" x14ac:dyDescent="0.2">
      <c r="B86" s="15" t="s">
        <v>356</v>
      </c>
      <c r="C86" s="168" t="s">
        <v>731</v>
      </c>
      <c r="D86" s="194" t="s">
        <v>0</v>
      </c>
      <c r="E86" s="133">
        <v>80</v>
      </c>
      <c r="F86" s="133">
        <v>80</v>
      </c>
      <c r="G86" s="133">
        <v>80</v>
      </c>
      <c r="H86" s="133">
        <v>80</v>
      </c>
      <c r="I86" s="304" t="s">
        <v>207</v>
      </c>
      <c r="J86" s="194" t="s">
        <v>506</v>
      </c>
      <c r="K86" s="325" t="s">
        <v>507</v>
      </c>
      <c r="L86" s="325" t="s">
        <v>507</v>
      </c>
      <c r="M86" s="325" t="s">
        <v>507</v>
      </c>
      <c r="N86" s="325" t="s">
        <v>507</v>
      </c>
      <c r="O86" s="575"/>
      <c r="P86" s="1203">
        <f t="shared" si="9"/>
        <v>0</v>
      </c>
    </row>
    <row r="87" spans="2:16" s="3" customFormat="1" ht="46.5" customHeight="1" x14ac:dyDescent="0.2">
      <c r="B87" s="15" t="s">
        <v>357</v>
      </c>
      <c r="C87" s="168" t="s">
        <v>446</v>
      </c>
      <c r="D87" s="194" t="s">
        <v>0</v>
      </c>
      <c r="E87" s="133">
        <v>10.3</v>
      </c>
      <c r="F87" s="133">
        <v>10.3</v>
      </c>
      <c r="G87" s="133">
        <v>10.3</v>
      </c>
      <c r="H87" s="133">
        <v>10.3</v>
      </c>
      <c r="I87" s="304" t="s">
        <v>207</v>
      </c>
      <c r="J87" s="194" t="s">
        <v>502</v>
      </c>
      <c r="K87" s="308" t="s">
        <v>470</v>
      </c>
      <c r="L87" s="308" t="s">
        <v>470</v>
      </c>
      <c r="M87" s="308" t="s">
        <v>470</v>
      </c>
      <c r="N87" s="308" t="s">
        <v>470</v>
      </c>
      <c r="O87" s="575"/>
      <c r="P87" s="1203">
        <f t="shared" si="9"/>
        <v>0</v>
      </c>
    </row>
    <row r="88" spans="2:16" s="3" customFormat="1" ht="59.25" customHeight="1" x14ac:dyDescent="0.2">
      <c r="B88" s="863" t="s">
        <v>358</v>
      </c>
      <c r="C88" s="860" t="s">
        <v>422</v>
      </c>
      <c r="D88" s="318" t="s">
        <v>0</v>
      </c>
      <c r="E88" s="154">
        <v>1427.6</v>
      </c>
      <c r="F88" s="616">
        <f>1427.6-56</f>
        <v>1371.6</v>
      </c>
      <c r="G88" s="615">
        <v>1405</v>
      </c>
      <c r="H88" s="615">
        <v>1495</v>
      </c>
      <c r="I88" s="794" t="s">
        <v>206</v>
      </c>
      <c r="J88" s="859" t="s">
        <v>508</v>
      </c>
      <c r="K88" s="792">
        <v>15.2</v>
      </c>
      <c r="L88" s="792">
        <v>15.2</v>
      </c>
      <c r="M88" s="792">
        <v>15.2</v>
      </c>
      <c r="N88" s="792">
        <v>15.2</v>
      </c>
      <c r="O88" s="895" t="s">
        <v>1073</v>
      </c>
      <c r="P88" s="1203">
        <f t="shared" si="9"/>
        <v>-56</v>
      </c>
    </row>
    <row r="89" spans="2:16" s="3" customFormat="1" ht="48.75" customHeight="1" x14ac:dyDescent="0.2">
      <c r="B89" s="863"/>
      <c r="C89" s="860"/>
      <c r="D89" s="318" t="s">
        <v>3</v>
      </c>
      <c r="E89" s="154">
        <v>82.3</v>
      </c>
      <c r="F89" s="615">
        <v>113.3</v>
      </c>
      <c r="G89" s="154">
        <v>83.5</v>
      </c>
      <c r="H89" s="154">
        <v>85</v>
      </c>
      <c r="I89" s="795"/>
      <c r="J89" s="859"/>
      <c r="K89" s="793"/>
      <c r="L89" s="793"/>
      <c r="M89" s="793"/>
      <c r="N89" s="793"/>
      <c r="O89" s="895"/>
      <c r="P89" s="1203">
        <f t="shared" si="9"/>
        <v>31</v>
      </c>
    </row>
    <row r="90" spans="2:16" s="3" customFormat="1" ht="41.25" customHeight="1" x14ac:dyDescent="0.2">
      <c r="B90" s="863"/>
      <c r="C90" s="860"/>
      <c r="D90" s="318" t="s">
        <v>4</v>
      </c>
      <c r="E90" s="154">
        <v>207.9</v>
      </c>
      <c r="F90" s="154">
        <v>207.9</v>
      </c>
      <c r="G90" s="154">
        <v>208</v>
      </c>
      <c r="H90" s="154">
        <v>208</v>
      </c>
      <c r="I90" s="796"/>
      <c r="J90" s="318" t="s">
        <v>510</v>
      </c>
      <c r="K90" s="326" t="s">
        <v>509</v>
      </c>
      <c r="L90" s="326" t="s">
        <v>509</v>
      </c>
      <c r="M90" s="326" t="s">
        <v>509</v>
      </c>
      <c r="N90" s="326" t="s">
        <v>509</v>
      </c>
      <c r="O90" s="573"/>
      <c r="P90" s="1203">
        <f t="shared" si="9"/>
        <v>0</v>
      </c>
    </row>
    <row r="91" spans="2:16" s="3" customFormat="1" ht="40.5" customHeight="1" x14ac:dyDescent="0.2">
      <c r="B91" s="15" t="s">
        <v>359</v>
      </c>
      <c r="C91" s="177" t="s">
        <v>454</v>
      </c>
      <c r="D91" s="177" t="s">
        <v>0</v>
      </c>
      <c r="E91" s="133">
        <v>100</v>
      </c>
      <c r="F91" s="133">
        <v>100</v>
      </c>
      <c r="G91" s="133">
        <v>100</v>
      </c>
      <c r="H91" s="133">
        <v>100</v>
      </c>
      <c r="I91" s="304" t="s">
        <v>202</v>
      </c>
      <c r="J91" s="177" t="s">
        <v>512</v>
      </c>
      <c r="K91" s="325" t="s">
        <v>495</v>
      </c>
      <c r="L91" s="325" t="s">
        <v>495</v>
      </c>
      <c r="M91" s="325">
        <v>2</v>
      </c>
      <c r="N91" s="325">
        <v>2</v>
      </c>
      <c r="O91" s="559"/>
      <c r="P91" s="1203">
        <f t="shared" si="9"/>
        <v>0</v>
      </c>
    </row>
    <row r="92" spans="2:16" s="3" customFormat="1" ht="46.5" customHeight="1" x14ac:dyDescent="0.2">
      <c r="B92" s="15" t="s">
        <v>360</v>
      </c>
      <c r="C92" s="177" t="s">
        <v>752</v>
      </c>
      <c r="D92" s="177" t="s">
        <v>0</v>
      </c>
      <c r="E92" s="133">
        <v>160</v>
      </c>
      <c r="F92" s="133">
        <v>160</v>
      </c>
      <c r="G92" s="133">
        <v>160</v>
      </c>
      <c r="H92" s="133">
        <v>160</v>
      </c>
      <c r="I92" s="304" t="s">
        <v>205</v>
      </c>
      <c r="J92" s="177" t="s">
        <v>503</v>
      </c>
      <c r="K92" s="303">
        <v>6</v>
      </c>
      <c r="L92" s="303">
        <v>6</v>
      </c>
      <c r="M92" s="303">
        <v>6</v>
      </c>
      <c r="N92" s="303">
        <v>6</v>
      </c>
      <c r="O92" s="559"/>
      <c r="P92" s="1203">
        <f t="shared" si="9"/>
        <v>0</v>
      </c>
    </row>
    <row r="93" spans="2:16" s="79" customFormat="1" ht="48" customHeight="1" x14ac:dyDescent="0.2">
      <c r="B93" s="416" t="s">
        <v>361</v>
      </c>
      <c r="C93" s="417" t="s">
        <v>423</v>
      </c>
      <c r="D93" s="417"/>
      <c r="E93" s="418">
        <f t="shared" ref="E93:H93" si="10">+E94+E95</f>
        <v>855</v>
      </c>
      <c r="F93" s="418">
        <f t="shared" si="10"/>
        <v>911</v>
      </c>
      <c r="G93" s="418">
        <f t="shared" si="10"/>
        <v>960</v>
      </c>
      <c r="H93" s="418">
        <f t="shared" si="10"/>
        <v>960</v>
      </c>
      <c r="I93" s="419"/>
      <c r="J93" s="422" t="s">
        <v>515</v>
      </c>
      <c r="K93" s="423">
        <v>21</v>
      </c>
      <c r="L93" s="423">
        <v>21</v>
      </c>
      <c r="M93" s="423">
        <v>21</v>
      </c>
      <c r="N93" s="423">
        <v>21</v>
      </c>
      <c r="O93" s="587"/>
      <c r="P93" s="1203">
        <f t="shared" si="9"/>
        <v>56</v>
      </c>
    </row>
    <row r="94" spans="2:16" s="3" customFormat="1" ht="94.5" customHeight="1" x14ac:dyDescent="0.2">
      <c r="B94" s="15" t="s">
        <v>362</v>
      </c>
      <c r="C94" s="176" t="s">
        <v>1022</v>
      </c>
      <c r="D94" s="194" t="s">
        <v>0</v>
      </c>
      <c r="E94" s="130">
        <v>815</v>
      </c>
      <c r="F94" s="617">
        <f>815+56</f>
        <v>871</v>
      </c>
      <c r="G94" s="539">
        <v>920</v>
      </c>
      <c r="H94" s="539">
        <v>920</v>
      </c>
      <c r="I94" s="313" t="s">
        <v>207</v>
      </c>
      <c r="J94" s="327" t="s">
        <v>702</v>
      </c>
      <c r="K94" s="328" t="s">
        <v>703</v>
      </c>
      <c r="L94" s="328" t="s">
        <v>1023</v>
      </c>
      <c r="M94" s="328" t="s">
        <v>703</v>
      </c>
      <c r="N94" s="328" t="s">
        <v>703</v>
      </c>
      <c r="O94" s="590" t="s">
        <v>1043</v>
      </c>
      <c r="P94" s="1203">
        <f t="shared" si="9"/>
        <v>56</v>
      </c>
    </row>
    <row r="95" spans="2:16" s="3" customFormat="1" ht="53.25" customHeight="1" x14ac:dyDescent="0.2">
      <c r="B95" s="15" t="s">
        <v>363</v>
      </c>
      <c r="C95" s="329" t="s">
        <v>732</v>
      </c>
      <c r="D95" s="194" t="s">
        <v>0</v>
      </c>
      <c r="E95" s="153">
        <v>40</v>
      </c>
      <c r="F95" s="153">
        <v>40</v>
      </c>
      <c r="G95" s="153">
        <v>40</v>
      </c>
      <c r="H95" s="153">
        <v>40</v>
      </c>
      <c r="I95" s="313" t="s">
        <v>207</v>
      </c>
      <c r="J95" s="194" t="s">
        <v>513</v>
      </c>
      <c r="K95" s="330" t="s">
        <v>514</v>
      </c>
      <c r="L95" s="330" t="s">
        <v>514</v>
      </c>
      <c r="M95" s="330" t="s">
        <v>514</v>
      </c>
      <c r="N95" s="330" t="s">
        <v>514</v>
      </c>
      <c r="O95" s="575"/>
      <c r="P95" s="1203">
        <f t="shared" si="9"/>
        <v>0</v>
      </c>
    </row>
    <row r="96" spans="2:16" s="80" customFormat="1" ht="75" customHeight="1" x14ac:dyDescent="0.2">
      <c r="B96" s="422" t="s">
        <v>364</v>
      </c>
      <c r="C96" s="416" t="s">
        <v>313</v>
      </c>
      <c r="D96" s="424"/>
      <c r="E96" s="418">
        <f>SUM(E97:E111)</f>
        <v>1672.5</v>
      </c>
      <c r="F96" s="418">
        <f t="shared" ref="F96:I96" si="11">SUM(F97:F111)</f>
        <v>1809.5</v>
      </c>
      <c r="G96" s="418">
        <f t="shared" si="11"/>
        <v>2798</v>
      </c>
      <c r="H96" s="418">
        <f t="shared" si="11"/>
        <v>2120</v>
      </c>
      <c r="I96" s="419">
        <f t="shared" si="11"/>
        <v>0</v>
      </c>
      <c r="J96" s="416" t="s">
        <v>919</v>
      </c>
      <c r="K96" s="425" t="s">
        <v>470</v>
      </c>
      <c r="L96" s="425" t="s">
        <v>470</v>
      </c>
      <c r="M96" s="425" t="s">
        <v>470</v>
      </c>
      <c r="N96" s="425" t="s">
        <v>470</v>
      </c>
      <c r="O96" s="588"/>
      <c r="P96" s="1203">
        <f t="shared" si="9"/>
        <v>137</v>
      </c>
    </row>
    <row r="97" spans="2:16" ht="53.25" customHeight="1" x14ac:dyDescent="0.2">
      <c r="B97" s="15" t="s">
        <v>365</v>
      </c>
      <c r="C97" s="168" t="s">
        <v>126</v>
      </c>
      <c r="D97" s="177" t="s">
        <v>0</v>
      </c>
      <c r="E97" s="133">
        <v>427</v>
      </c>
      <c r="F97" s="133">
        <v>427</v>
      </c>
      <c r="G97" s="133">
        <v>0</v>
      </c>
      <c r="H97" s="133">
        <v>0</v>
      </c>
      <c r="I97" s="304" t="s">
        <v>184</v>
      </c>
      <c r="J97" s="168" t="s">
        <v>552</v>
      </c>
      <c r="K97" s="332" t="s">
        <v>553</v>
      </c>
      <c r="L97" s="332" t="s">
        <v>553</v>
      </c>
      <c r="M97" s="332"/>
      <c r="N97" s="331"/>
      <c r="O97" s="576"/>
      <c r="P97" s="1203">
        <f t="shared" si="9"/>
        <v>0</v>
      </c>
    </row>
    <row r="98" spans="2:16" s="3" customFormat="1" ht="45" customHeight="1" x14ac:dyDescent="0.2">
      <c r="B98" s="22" t="s">
        <v>366</v>
      </c>
      <c r="C98" s="177" t="s">
        <v>315</v>
      </c>
      <c r="D98" s="176" t="s">
        <v>0</v>
      </c>
      <c r="E98" s="133">
        <v>177</v>
      </c>
      <c r="F98" s="133">
        <v>177</v>
      </c>
      <c r="G98" s="133">
        <v>0</v>
      </c>
      <c r="H98" s="133">
        <v>0</v>
      </c>
      <c r="I98" s="304" t="s">
        <v>204</v>
      </c>
      <c r="J98" s="168" t="s">
        <v>554</v>
      </c>
      <c r="K98" s="303" t="s">
        <v>623</v>
      </c>
      <c r="L98" s="303" t="s">
        <v>623</v>
      </c>
      <c r="M98" s="303"/>
      <c r="N98" s="308"/>
      <c r="O98" s="576"/>
      <c r="P98" s="1203">
        <f t="shared" si="9"/>
        <v>0</v>
      </c>
    </row>
    <row r="99" spans="2:16" ht="25.5" customHeight="1" x14ac:dyDescent="0.2">
      <c r="B99" s="863" t="s">
        <v>367</v>
      </c>
      <c r="C99" s="862" t="s">
        <v>316</v>
      </c>
      <c r="D99" s="177" t="s">
        <v>0</v>
      </c>
      <c r="E99" s="133">
        <v>50</v>
      </c>
      <c r="F99" s="133">
        <v>50</v>
      </c>
      <c r="G99" s="133">
        <v>50</v>
      </c>
      <c r="H99" s="133">
        <v>50</v>
      </c>
      <c r="I99" s="803" t="s">
        <v>734</v>
      </c>
      <c r="J99" s="797" t="s">
        <v>556</v>
      </c>
      <c r="K99" s="800" t="s">
        <v>628</v>
      </c>
      <c r="L99" s="800" t="s">
        <v>628</v>
      </c>
      <c r="M99" s="800" t="s">
        <v>555</v>
      </c>
      <c r="N99" s="800" t="s">
        <v>735</v>
      </c>
      <c r="O99" s="890" t="s">
        <v>1033</v>
      </c>
      <c r="P99" s="1203">
        <f t="shared" si="9"/>
        <v>0</v>
      </c>
    </row>
    <row r="100" spans="2:16" ht="25.5" customHeight="1" x14ac:dyDescent="0.2">
      <c r="B100" s="863"/>
      <c r="C100" s="862"/>
      <c r="D100" s="177" t="s">
        <v>0</v>
      </c>
      <c r="E100" s="133">
        <v>0</v>
      </c>
      <c r="F100" s="618">
        <v>120</v>
      </c>
      <c r="G100" s="133">
        <v>700</v>
      </c>
      <c r="H100" s="133">
        <v>700</v>
      </c>
      <c r="I100" s="804"/>
      <c r="J100" s="798"/>
      <c r="K100" s="801"/>
      <c r="L100" s="801"/>
      <c r="M100" s="801"/>
      <c r="N100" s="801"/>
      <c r="O100" s="896"/>
      <c r="P100" s="1203">
        <f t="shared" si="9"/>
        <v>120</v>
      </c>
    </row>
    <row r="101" spans="2:16" ht="25.5" customHeight="1" x14ac:dyDescent="0.2">
      <c r="B101" s="863"/>
      <c r="C101" s="862"/>
      <c r="D101" s="177" t="s">
        <v>3</v>
      </c>
      <c r="E101" s="133">
        <v>0</v>
      </c>
      <c r="F101" s="618">
        <v>120</v>
      </c>
      <c r="G101" s="133">
        <v>600</v>
      </c>
      <c r="H101" s="133">
        <v>700</v>
      </c>
      <c r="I101" s="805"/>
      <c r="J101" s="799"/>
      <c r="K101" s="802"/>
      <c r="L101" s="802"/>
      <c r="M101" s="802"/>
      <c r="N101" s="802"/>
      <c r="O101" s="891"/>
      <c r="P101" s="1203">
        <f t="shared" si="9"/>
        <v>120</v>
      </c>
    </row>
    <row r="102" spans="2:16" s="3" customFormat="1" ht="25.5" customHeight="1" x14ac:dyDescent="0.2">
      <c r="B102" s="865" t="s">
        <v>368</v>
      </c>
      <c r="C102" s="815" t="s">
        <v>317</v>
      </c>
      <c r="D102" s="177" t="s">
        <v>0</v>
      </c>
      <c r="E102" s="133">
        <v>20</v>
      </c>
      <c r="F102" s="133">
        <v>20</v>
      </c>
      <c r="G102" s="133">
        <v>0</v>
      </c>
      <c r="H102" s="133">
        <v>20</v>
      </c>
      <c r="I102" s="803" t="s">
        <v>203</v>
      </c>
      <c r="J102" s="797" t="s">
        <v>995</v>
      </c>
      <c r="K102" s="800" t="s">
        <v>555</v>
      </c>
      <c r="L102" s="800" t="s">
        <v>628</v>
      </c>
      <c r="M102" s="800" t="s">
        <v>1040</v>
      </c>
      <c r="N102" s="800" t="s">
        <v>1041</v>
      </c>
      <c r="O102" s="890" t="s">
        <v>1042</v>
      </c>
      <c r="P102" s="1203">
        <f t="shared" si="9"/>
        <v>0</v>
      </c>
    </row>
    <row r="103" spans="2:16" s="3" customFormat="1" ht="25.5" customHeight="1" x14ac:dyDescent="0.2">
      <c r="B103" s="867"/>
      <c r="C103" s="841"/>
      <c r="D103" s="177" t="s">
        <v>0</v>
      </c>
      <c r="E103" s="133">
        <v>0</v>
      </c>
      <c r="F103" s="133">
        <v>0</v>
      </c>
      <c r="G103" s="618">
        <v>345</v>
      </c>
      <c r="H103" s="133">
        <v>300</v>
      </c>
      <c r="I103" s="804"/>
      <c r="J103" s="798"/>
      <c r="K103" s="801"/>
      <c r="L103" s="801"/>
      <c r="M103" s="801"/>
      <c r="N103" s="801"/>
      <c r="O103" s="896"/>
      <c r="P103" s="1203">
        <f t="shared" si="9"/>
        <v>0</v>
      </c>
    </row>
    <row r="104" spans="2:16" s="53" customFormat="1" ht="25.5" customHeight="1" x14ac:dyDescent="0.2">
      <c r="B104" s="866"/>
      <c r="C104" s="816"/>
      <c r="D104" s="177" t="s">
        <v>3</v>
      </c>
      <c r="E104" s="133">
        <v>0</v>
      </c>
      <c r="F104" s="133">
        <v>0</v>
      </c>
      <c r="G104" s="618">
        <v>405</v>
      </c>
      <c r="H104" s="133">
        <v>300</v>
      </c>
      <c r="I104" s="805"/>
      <c r="J104" s="799"/>
      <c r="K104" s="802"/>
      <c r="L104" s="802"/>
      <c r="M104" s="802"/>
      <c r="N104" s="802"/>
      <c r="O104" s="891"/>
      <c r="P104" s="1203">
        <f t="shared" si="9"/>
        <v>0</v>
      </c>
    </row>
    <row r="105" spans="2:16" s="115" customFormat="1" ht="38.25" customHeight="1" x14ac:dyDescent="0.2">
      <c r="B105" s="113" t="s">
        <v>369</v>
      </c>
      <c r="C105" s="177" t="s">
        <v>424</v>
      </c>
      <c r="D105" s="177" t="s">
        <v>0</v>
      </c>
      <c r="E105" s="133">
        <v>0</v>
      </c>
      <c r="F105" s="133">
        <v>0</v>
      </c>
      <c r="G105" s="133">
        <v>100</v>
      </c>
      <c r="H105" s="133">
        <v>0</v>
      </c>
      <c r="I105" s="304" t="s">
        <v>204</v>
      </c>
      <c r="J105" s="168" t="s">
        <v>707</v>
      </c>
      <c r="K105" s="306"/>
      <c r="L105" s="306"/>
      <c r="M105" s="306" t="s">
        <v>511</v>
      </c>
      <c r="N105" s="306"/>
      <c r="O105" s="576"/>
      <c r="P105" s="1203">
        <f t="shared" si="9"/>
        <v>0</v>
      </c>
    </row>
    <row r="106" spans="2:16" s="115" customFormat="1" ht="35.25" customHeight="1" x14ac:dyDescent="0.2">
      <c r="B106" s="113" t="s">
        <v>370</v>
      </c>
      <c r="C106" s="704" t="s">
        <v>1060</v>
      </c>
      <c r="D106" s="177" t="s">
        <v>0</v>
      </c>
      <c r="E106" s="133">
        <v>10</v>
      </c>
      <c r="F106" s="540">
        <v>0</v>
      </c>
      <c r="G106" s="618">
        <v>150</v>
      </c>
      <c r="H106" s="133">
        <v>0</v>
      </c>
      <c r="I106" s="304" t="s">
        <v>204</v>
      </c>
      <c r="J106" s="168" t="s">
        <v>707</v>
      </c>
      <c r="K106" s="306" t="s">
        <v>511</v>
      </c>
      <c r="L106" s="306" t="s">
        <v>961</v>
      </c>
      <c r="M106" s="306" t="s">
        <v>511</v>
      </c>
      <c r="N106" s="306"/>
      <c r="O106" s="576" t="s">
        <v>1074</v>
      </c>
      <c r="P106" s="1203">
        <f t="shared" si="9"/>
        <v>-10</v>
      </c>
    </row>
    <row r="107" spans="2:16" s="2" customFormat="1" ht="51" customHeight="1" x14ac:dyDescent="0.2">
      <c r="B107" s="15" t="s">
        <v>371</v>
      </c>
      <c r="C107" s="175" t="s">
        <v>425</v>
      </c>
      <c r="D107" s="175" t="s">
        <v>0</v>
      </c>
      <c r="E107" s="133">
        <v>161.5</v>
      </c>
      <c r="F107" s="133">
        <v>161.5</v>
      </c>
      <c r="G107" s="133">
        <v>0</v>
      </c>
      <c r="H107" s="133">
        <v>0</v>
      </c>
      <c r="I107" s="304" t="s">
        <v>213</v>
      </c>
      <c r="J107" s="168" t="s">
        <v>904</v>
      </c>
      <c r="K107" s="308" t="s">
        <v>599</v>
      </c>
      <c r="L107" s="308" t="s">
        <v>599</v>
      </c>
      <c r="M107" s="331"/>
      <c r="N107" s="331"/>
      <c r="O107" s="576"/>
      <c r="P107" s="1203">
        <f t="shared" si="9"/>
        <v>0</v>
      </c>
    </row>
    <row r="108" spans="2:16" s="2" customFormat="1" ht="66.75" customHeight="1" x14ac:dyDescent="0.2">
      <c r="B108" s="23" t="s">
        <v>372</v>
      </c>
      <c r="C108" s="175" t="s">
        <v>100</v>
      </c>
      <c r="D108" s="175" t="s">
        <v>0</v>
      </c>
      <c r="E108" s="133">
        <v>525</v>
      </c>
      <c r="F108" s="618">
        <f>525+7</f>
        <v>532</v>
      </c>
      <c r="G108" s="133">
        <v>0</v>
      </c>
      <c r="H108" s="133">
        <v>0</v>
      </c>
      <c r="I108" s="304" t="s">
        <v>213</v>
      </c>
      <c r="J108" s="168" t="s">
        <v>706</v>
      </c>
      <c r="K108" s="308" t="s">
        <v>470</v>
      </c>
      <c r="L108" s="308" t="s">
        <v>470</v>
      </c>
      <c r="M108" s="308"/>
      <c r="N108" s="308"/>
      <c r="O108" s="576" t="s">
        <v>1034</v>
      </c>
      <c r="P108" s="1203">
        <f t="shared" si="9"/>
        <v>7</v>
      </c>
    </row>
    <row r="109" spans="2:16" s="67" customFormat="1" ht="45" customHeight="1" x14ac:dyDescent="0.2">
      <c r="B109" s="15" t="s">
        <v>373</v>
      </c>
      <c r="C109" s="175" t="s">
        <v>272</v>
      </c>
      <c r="D109" s="175" t="s">
        <v>267</v>
      </c>
      <c r="E109" s="133">
        <v>50</v>
      </c>
      <c r="F109" s="133">
        <v>50</v>
      </c>
      <c r="G109" s="133">
        <v>80</v>
      </c>
      <c r="H109" s="133">
        <v>50</v>
      </c>
      <c r="I109" s="304" t="s">
        <v>213</v>
      </c>
      <c r="J109" s="168" t="s">
        <v>558</v>
      </c>
      <c r="K109" s="308" t="s">
        <v>559</v>
      </c>
      <c r="L109" s="565" t="s">
        <v>495</v>
      </c>
      <c r="M109" s="308" t="s">
        <v>559</v>
      </c>
      <c r="N109" s="308" t="s">
        <v>559</v>
      </c>
      <c r="O109" s="576"/>
      <c r="P109" s="1203">
        <f t="shared" si="9"/>
        <v>0</v>
      </c>
    </row>
    <row r="110" spans="2:16" s="2" customFormat="1" ht="38.25" customHeight="1" x14ac:dyDescent="0.2">
      <c r="B110" s="863" t="s">
        <v>449</v>
      </c>
      <c r="C110" s="878" t="s">
        <v>1003</v>
      </c>
      <c r="D110" s="175" t="s">
        <v>0</v>
      </c>
      <c r="E110" s="133">
        <v>52</v>
      </c>
      <c r="F110" s="133">
        <v>52</v>
      </c>
      <c r="G110" s="133">
        <v>30</v>
      </c>
      <c r="H110" s="133">
        <v>0</v>
      </c>
      <c r="I110" s="803" t="s">
        <v>213</v>
      </c>
      <c r="J110" s="862" t="s">
        <v>560</v>
      </c>
      <c r="K110" s="806" t="s">
        <v>1025</v>
      </c>
      <c r="L110" s="894" t="s">
        <v>557</v>
      </c>
      <c r="M110" s="806" t="s">
        <v>470</v>
      </c>
      <c r="N110" s="806"/>
      <c r="O110" s="897" t="s">
        <v>1075</v>
      </c>
      <c r="P110" s="1203">
        <f t="shared" si="9"/>
        <v>0</v>
      </c>
    </row>
    <row r="111" spans="2:16" s="2" customFormat="1" ht="38.25" customHeight="1" x14ac:dyDescent="0.2">
      <c r="B111" s="863"/>
      <c r="C111" s="878"/>
      <c r="D111" s="175" t="s">
        <v>0</v>
      </c>
      <c r="E111" s="133">
        <v>200</v>
      </c>
      <c r="F111" s="618">
        <v>100</v>
      </c>
      <c r="G111" s="618">
        <v>338</v>
      </c>
      <c r="H111" s="133">
        <v>0</v>
      </c>
      <c r="I111" s="805"/>
      <c r="J111" s="862"/>
      <c r="K111" s="806"/>
      <c r="L111" s="894"/>
      <c r="M111" s="806"/>
      <c r="N111" s="806"/>
      <c r="O111" s="897"/>
      <c r="P111" s="1203">
        <f t="shared" si="9"/>
        <v>-100</v>
      </c>
    </row>
    <row r="112" spans="2:16" s="81" customFormat="1" ht="24" customHeight="1" x14ac:dyDescent="0.2">
      <c r="B112" s="425"/>
      <c r="C112" s="790" t="s">
        <v>169</v>
      </c>
      <c r="D112" s="791"/>
      <c r="E112" s="442">
        <f>+E96+E93+E84+E70+E60+E50+E40+E31+E18+E64</f>
        <v>64457.399999999994</v>
      </c>
      <c r="F112" s="442">
        <f t="shared" ref="F112:H112" si="12">+F96+F93+F84+F70+F60+F50+F40+F31+F18+F64</f>
        <v>65853.3</v>
      </c>
      <c r="G112" s="442">
        <f t="shared" si="12"/>
        <v>68922.8</v>
      </c>
      <c r="H112" s="442">
        <f t="shared" si="12"/>
        <v>70331.399999999994</v>
      </c>
      <c r="I112" s="426"/>
      <c r="J112" s="427"/>
      <c r="K112" s="428"/>
      <c r="L112" s="428"/>
      <c r="M112" s="428"/>
      <c r="N112" s="428"/>
      <c r="O112" s="589"/>
      <c r="P112" s="1203">
        <f t="shared" si="9"/>
        <v>1395.9000000000087</v>
      </c>
    </row>
    <row r="113" spans="2:16" s="683" customFormat="1" ht="16.5" customHeight="1" x14ac:dyDescent="0.2">
      <c r="B113" s="678"/>
      <c r="C113" s="679"/>
      <c r="D113" s="679"/>
      <c r="E113" s="680">
        <f>+E112-E114-E122</f>
        <v>-7.2759576141834259E-12</v>
      </c>
      <c r="F113" s="680">
        <f t="shared" ref="F113:H113" si="13">+F112-F114-F122</f>
        <v>7.2759576141834259E-12</v>
      </c>
      <c r="G113" s="680">
        <f t="shared" si="13"/>
        <v>1.4551915228366852E-11</v>
      </c>
      <c r="H113" s="680">
        <f t="shared" si="13"/>
        <v>0</v>
      </c>
      <c r="I113" s="1205"/>
      <c r="J113" s="681"/>
      <c r="K113" s="682"/>
      <c r="L113" s="682"/>
      <c r="M113" s="682"/>
      <c r="N113" s="682"/>
      <c r="O113" s="681"/>
      <c r="P113" s="1203"/>
    </row>
    <row r="114" spans="2:16" s="5" customFormat="1" ht="30" customHeight="1" x14ac:dyDescent="0.2">
      <c r="B114" s="447"/>
      <c r="C114" s="448" t="s">
        <v>143</v>
      </c>
      <c r="D114" s="448"/>
      <c r="E114" s="449">
        <f t="shared" ref="E114:H114" si="14">SUM(E116:E121)</f>
        <v>64057.4</v>
      </c>
      <c r="F114" s="449">
        <f t="shared" si="14"/>
        <v>65453.299999999996</v>
      </c>
      <c r="G114" s="449">
        <f t="shared" si="14"/>
        <v>68372.799999999988</v>
      </c>
      <c r="H114" s="449">
        <f t="shared" si="14"/>
        <v>69741.399999999994</v>
      </c>
      <c r="I114" s="1205">
        <f>+F114-E114</f>
        <v>1395.8999999999942</v>
      </c>
      <c r="J114" s="335"/>
      <c r="K114" s="336"/>
      <c r="L114" s="336"/>
      <c r="M114" s="336"/>
      <c r="N114" s="336"/>
      <c r="O114" s="577"/>
      <c r="P114" s="1203"/>
    </row>
    <row r="115" spans="2:16" s="5" customFormat="1" ht="17.25" customHeight="1" x14ac:dyDescent="0.2">
      <c r="B115" s="50"/>
      <c r="C115" s="392" t="s">
        <v>144</v>
      </c>
      <c r="D115" s="33"/>
      <c r="E115" s="160"/>
      <c r="F115" s="160"/>
      <c r="G115" s="160"/>
      <c r="H115" s="160"/>
      <c r="I115" s="1205"/>
      <c r="J115" s="335"/>
      <c r="K115" s="336"/>
      <c r="L115" s="336"/>
      <c r="M115" s="336"/>
      <c r="N115" s="336"/>
      <c r="O115" s="577"/>
      <c r="P115" s="1203"/>
    </row>
    <row r="116" spans="2:16" s="5" customFormat="1" ht="31.5" customHeight="1" x14ac:dyDescent="0.2">
      <c r="B116" s="50"/>
      <c r="C116" s="392" t="s">
        <v>145</v>
      </c>
      <c r="D116" s="33" t="s">
        <v>0</v>
      </c>
      <c r="E116" s="58">
        <f>+E110+E109+E108+E107+E105+E103+E102+E100+E99+E98+E97+E95+E94+E92+E91+E88+E87+E86+E85+E83+E81+E80+E77+E74+E71+E68+E66+E65+E63+E62+E61+E59+E58+E57+E56+E55+E54+E53+E52+E51+E46+E44+E42+E38+E37+E35+E33+E30+E27+E26+E23+E20+E111+E106</f>
        <v>23105.599999999999</v>
      </c>
      <c r="F116" s="58">
        <f t="shared" ref="F116:H116" si="15">+F110+F109+F108+F107+F105+F103+F102+F100+F99+F98+F97+F95+F94+F92+F91+F88+F87+F86+F85+F83+F81+F80+F77+F74+F71+F68+F66+F65+F63+F62+F61+F59+F58+F57+F56+F55+F54+F53+F52+F51+F46+F44+F42+F38+F37+F35+F33+F30+F27+F26+F23+F20+F111+F106</f>
        <v>22725.899999999998</v>
      </c>
      <c r="G116" s="58">
        <f t="shared" si="15"/>
        <v>31169.699999999997</v>
      </c>
      <c r="H116" s="58">
        <f t="shared" si="15"/>
        <v>31899.8</v>
      </c>
      <c r="I116" s="1205">
        <f t="shared" ref="I115:I124" si="16">+F116-E116</f>
        <v>-379.70000000000073</v>
      </c>
      <c r="J116" s="334"/>
      <c r="K116" s="336"/>
      <c r="L116" s="336"/>
      <c r="M116" s="336"/>
      <c r="N116" s="336"/>
      <c r="O116" s="577"/>
      <c r="P116" s="1203"/>
    </row>
    <row r="117" spans="2:16" s="5" customFormat="1" ht="22.5" customHeight="1" x14ac:dyDescent="0.2">
      <c r="B117" s="50"/>
      <c r="C117" s="392" t="s">
        <v>146</v>
      </c>
      <c r="D117" s="33" t="s">
        <v>3</v>
      </c>
      <c r="E117" s="58">
        <f>+E104+E101+E89+E82+E78+E75+E73+E67+E49+E41+E36+E32+E29+E25+E19</f>
        <v>29693.4</v>
      </c>
      <c r="F117" s="58">
        <f t="shared" ref="F117:H117" si="17">+F104+F101+F89+F82+F78+F75+F73+F67+F49+F41+F36+F32+F29+F25+F19</f>
        <v>31520</v>
      </c>
      <c r="G117" s="58">
        <f t="shared" si="17"/>
        <v>34174.1</v>
      </c>
      <c r="H117" s="58">
        <f t="shared" si="17"/>
        <v>35699.599999999999</v>
      </c>
      <c r="I117" s="1205">
        <f t="shared" si="16"/>
        <v>1826.5999999999985</v>
      </c>
      <c r="J117" s="335"/>
      <c r="K117" s="336"/>
      <c r="L117" s="336"/>
      <c r="M117" s="336"/>
      <c r="N117" s="336"/>
      <c r="O117" s="577"/>
      <c r="P117" s="1203"/>
    </row>
    <row r="118" spans="2:16" s="5" customFormat="1" ht="22.5" customHeight="1" x14ac:dyDescent="0.2">
      <c r="B118" s="50"/>
      <c r="C118" s="392" t="s">
        <v>147</v>
      </c>
      <c r="D118" s="33" t="s">
        <v>4</v>
      </c>
      <c r="E118" s="58">
        <f>+E90+E79+E76+E72+E34+E22+E43</f>
        <v>1977.4</v>
      </c>
      <c r="F118" s="58">
        <f t="shared" ref="F118:H118" si="18">+F90+F79+F76+F72+F34+F22+F43</f>
        <v>2006.3999999999999</v>
      </c>
      <c r="G118" s="58">
        <f t="shared" si="18"/>
        <v>1992</v>
      </c>
      <c r="H118" s="58">
        <f t="shared" si="18"/>
        <v>1992</v>
      </c>
      <c r="I118" s="1205">
        <f t="shared" si="16"/>
        <v>28.999999999999773</v>
      </c>
      <c r="J118" s="335"/>
      <c r="K118" s="336"/>
      <c r="L118" s="336"/>
      <c r="M118" s="336"/>
      <c r="N118" s="336"/>
      <c r="O118" s="577"/>
      <c r="P118" s="1203"/>
    </row>
    <row r="119" spans="2:16" s="5" customFormat="1" ht="22.5" customHeight="1" x14ac:dyDescent="0.2">
      <c r="B119" s="50"/>
      <c r="C119" s="392" t="s">
        <v>148</v>
      </c>
      <c r="D119" s="33" t="s">
        <v>1</v>
      </c>
      <c r="E119" s="58">
        <f>+E48+E47+E45+E39+E28+E24</f>
        <v>1833</v>
      </c>
      <c r="F119" s="58">
        <f t="shared" ref="F119:H119" si="19">+F48+F47+F45+F39+F28+F24</f>
        <v>1753</v>
      </c>
      <c r="G119" s="58">
        <f t="shared" si="19"/>
        <v>1037</v>
      </c>
      <c r="H119" s="58">
        <f t="shared" si="19"/>
        <v>150</v>
      </c>
      <c r="I119" s="1205">
        <f t="shared" si="16"/>
        <v>-80</v>
      </c>
      <c r="J119" s="335"/>
      <c r="K119" s="336"/>
      <c r="L119" s="336"/>
      <c r="M119" s="336"/>
      <c r="N119" s="336"/>
      <c r="O119" s="577"/>
      <c r="P119" s="1203"/>
    </row>
    <row r="120" spans="2:16" s="5" customFormat="1" ht="22.5" customHeight="1" x14ac:dyDescent="0.2">
      <c r="B120" s="50"/>
      <c r="C120" s="392" t="s">
        <v>149</v>
      </c>
      <c r="D120" s="33" t="s">
        <v>2</v>
      </c>
      <c r="E120" s="58"/>
      <c r="F120" s="58"/>
      <c r="G120" s="58"/>
      <c r="H120" s="58"/>
      <c r="I120" s="1205">
        <f t="shared" si="16"/>
        <v>0</v>
      </c>
      <c r="J120" s="335"/>
      <c r="K120" s="336"/>
      <c r="L120" s="336"/>
      <c r="M120" s="336"/>
      <c r="N120" s="336"/>
      <c r="O120" s="577"/>
      <c r="P120" s="1203"/>
    </row>
    <row r="121" spans="2:16" s="5" customFormat="1" ht="22.5" customHeight="1" x14ac:dyDescent="0.2">
      <c r="B121" s="42"/>
      <c r="C121" s="393" t="s">
        <v>150</v>
      </c>
      <c r="D121" s="118" t="s">
        <v>154</v>
      </c>
      <c r="E121" s="58">
        <f>+E21</f>
        <v>7448</v>
      </c>
      <c r="F121" s="58">
        <f t="shared" ref="F121:H121" si="20">+F21</f>
        <v>7448</v>
      </c>
      <c r="G121" s="58">
        <f t="shared" si="20"/>
        <v>0</v>
      </c>
      <c r="H121" s="58">
        <f t="shared" si="20"/>
        <v>0</v>
      </c>
      <c r="I121" s="1205">
        <f t="shared" si="16"/>
        <v>0</v>
      </c>
      <c r="J121" s="335"/>
      <c r="K121" s="336"/>
      <c r="L121" s="336"/>
      <c r="M121" s="336"/>
      <c r="N121" s="336"/>
      <c r="O121" s="577"/>
      <c r="P121" s="1203"/>
    </row>
    <row r="122" spans="2:16" s="5" customFormat="1" ht="46.5" customHeight="1" x14ac:dyDescent="0.2">
      <c r="B122" s="450"/>
      <c r="C122" s="451" t="s">
        <v>151</v>
      </c>
      <c r="D122" s="451" t="s">
        <v>155</v>
      </c>
      <c r="E122" s="449">
        <f>+E69</f>
        <v>400</v>
      </c>
      <c r="F122" s="449">
        <f t="shared" ref="F122:H122" si="21">+F69</f>
        <v>400</v>
      </c>
      <c r="G122" s="449">
        <f t="shared" si="21"/>
        <v>550</v>
      </c>
      <c r="H122" s="449">
        <f t="shared" si="21"/>
        <v>590</v>
      </c>
      <c r="I122" s="1205">
        <f t="shared" si="16"/>
        <v>0</v>
      </c>
      <c r="J122" s="335"/>
      <c r="K122" s="336"/>
      <c r="L122" s="336"/>
      <c r="M122" s="336"/>
      <c r="N122" s="336"/>
      <c r="O122" s="577"/>
      <c r="P122" s="1203"/>
    </row>
    <row r="123" spans="2:16" s="5" customFormat="1" ht="45" customHeight="1" x14ac:dyDescent="0.2">
      <c r="B123" s="429"/>
      <c r="C123" s="443" t="s">
        <v>153</v>
      </c>
      <c r="D123" s="443"/>
      <c r="E123" s="444">
        <f t="shared" ref="E123:H123" si="22">+E122+E114</f>
        <v>64457.4</v>
      </c>
      <c r="F123" s="444">
        <f t="shared" si="22"/>
        <v>65853.299999999988</v>
      </c>
      <c r="G123" s="444">
        <f t="shared" si="22"/>
        <v>68922.799999999988</v>
      </c>
      <c r="H123" s="444">
        <f t="shared" si="22"/>
        <v>70331.399999999994</v>
      </c>
      <c r="I123" s="1205">
        <f t="shared" si="16"/>
        <v>1395.8999999999869</v>
      </c>
      <c r="J123" s="335"/>
      <c r="K123" s="336"/>
      <c r="L123" s="336"/>
      <c r="M123" s="336"/>
      <c r="N123" s="336"/>
      <c r="O123" s="577"/>
      <c r="P123" s="1203"/>
    </row>
    <row r="124" spans="2:16" s="109" customFormat="1" ht="24" customHeight="1" x14ac:dyDescent="0.2">
      <c r="B124" s="108"/>
      <c r="C124" s="392" t="s">
        <v>152</v>
      </c>
      <c r="D124" s="178"/>
      <c r="E124" s="161">
        <f>+E47+E45+E39+E48+E49</f>
        <v>1766</v>
      </c>
      <c r="F124" s="161">
        <f t="shared" ref="F124:H124" si="23">+F47+F45+F39+F48+F49</f>
        <v>1686</v>
      </c>
      <c r="G124" s="161">
        <f t="shared" si="23"/>
        <v>955</v>
      </c>
      <c r="H124" s="161">
        <f t="shared" si="23"/>
        <v>0</v>
      </c>
      <c r="I124" s="1205"/>
      <c r="J124" s="337"/>
      <c r="K124" s="338"/>
      <c r="L124" s="338"/>
      <c r="M124" s="338"/>
      <c r="N124" s="338"/>
      <c r="O124" s="578"/>
      <c r="P124" s="1203"/>
    </row>
    <row r="125" spans="2:16" s="2" customFormat="1" ht="36" customHeight="1" x14ac:dyDescent="0.2">
      <c r="B125" s="50"/>
      <c r="C125" s="394" t="s">
        <v>173</v>
      </c>
      <c r="D125" s="162"/>
      <c r="E125" s="58">
        <f>+((E123*100)/62434.5)-100</f>
        <v>3.240035557264008</v>
      </c>
      <c r="F125" s="58">
        <v>3.9</v>
      </c>
      <c r="G125" s="58">
        <f t="shared" ref="G125:H125" si="24">+((G123*100)/62434.5)-100</f>
        <v>10.39217099520296</v>
      </c>
      <c r="H125" s="58">
        <f t="shared" si="24"/>
        <v>12.648295413593431</v>
      </c>
      <c r="I125" s="1205"/>
      <c r="J125" s="340"/>
      <c r="K125" s="341"/>
      <c r="L125" s="341"/>
      <c r="M125" s="341"/>
      <c r="N125" s="341"/>
      <c r="O125" s="579"/>
      <c r="P125" s="1203"/>
    </row>
    <row r="126" spans="2:16" s="1174" customFormat="1" ht="21" customHeight="1" x14ac:dyDescent="0.25">
      <c r="B126" s="1179" t="s">
        <v>1092</v>
      </c>
      <c r="C126" s="1179"/>
      <c r="D126" s="1179"/>
      <c r="E126" s="1179"/>
      <c r="F126" s="1179"/>
      <c r="G126" s="1179"/>
      <c r="H126" s="1179"/>
      <c r="I126" s="1170"/>
      <c r="J126" s="1171"/>
      <c r="K126" s="1172"/>
      <c r="L126" s="1172"/>
      <c r="M126" s="1172"/>
      <c r="N126" s="1172"/>
      <c r="O126" s="1173"/>
      <c r="P126" s="1204"/>
    </row>
    <row r="127" spans="2:16" s="1174" customFormat="1" ht="35.25" customHeight="1" x14ac:dyDescent="0.25">
      <c r="B127" s="1184" t="s">
        <v>1095</v>
      </c>
      <c r="C127" s="1185"/>
      <c r="D127" s="1180"/>
      <c r="E127" s="1180"/>
      <c r="F127" s="1180"/>
      <c r="G127" s="1180"/>
      <c r="H127" s="1186"/>
      <c r="I127" s="1170"/>
      <c r="J127" s="1171"/>
      <c r="K127" s="1172"/>
      <c r="L127" s="1172"/>
      <c r="M127" s="1172"/>
      <c r="N127" s="1172"/>
      <c r="O127" s="1173"/>
      <c r="P127" s="1204"/>
    </row>
    <row r="128" spans="2:16" s="1174" customFormat="1" ht="24.75" customHeight="1" x14ac:dyDescent="0.25">
      <c r="B128" s="1181" t="s">
        <v>1094</v>
      </c>
      <c r="C128" s="1181"/>
      <c r="D128" s="1181"/>
      <c r="E128" s="1187"/>
      <c r="F128" s="1188"/>
      <c r="G128" s="1188"/>
      <c r="H128" s="1188"/>
      <c r="I128" s="1175"/>
      <c r="J128" s="1176"/>
      <c r="K128" s="1177"/>
      <c r="L128" s="1177"/>
      <c r="M128" s="1177"/>
      <c r="N128" s="1177"/>
      <c r="O128" s="1178"/>
      <c r="P128" s="1204"/>
    </row>
    <row r="129" spans="2:16" ht="12.75" customHeight="1" x14ac:dyDescent="0.25">
      <c r="B129" s="1169"/>
      <c r="E129" s="342"/>
      <c r="F129" s="342"/>
      <c r="G129" s="342"/>
      <c r="H129" s="342"/>
      <c r="P129" s="1203"/>
    </row>
    <row r="130" spans="2:16" ht="12.75" customHeight="1" x14ac:dyDescent="0.25">
      <c r="E130" s="342"/>
      <c r="F130" s="342"/>
      <c r="G130" s="342"/>
      <c r="H130" s="342"/>
      <c r="I130" s="343"/>
      <c r="J130" s="344"/>
      <c r="K130" s="345"/>
      <c r="L130" s="345"/>
      <c r="M130" s="345"/>
      <c r="N130" s="345"/>
      <c r="O130" s="580"/>
      <c r="P130" s="1203"/>
    </row>
    <row r="131" spans="2:16" ht="12.75" customHeight="1" x14ac:dyDescent="0.25"/>
    <row r="132" spans="2:16" ht="12.75" customHeight="1" x14ac:dyDescent="0.25">
      <c r="F132" s="342"/>
    </row>
    <row r="134" spans="2:16" x14ac:dyDescent="0.25">
      <c r="F134" s="342"/>
    </row>
    <row r="136" spans="2:16" x14ac:dyDescent="0.25">
      <c r="E136" s="342"/>
      <c r="F136" s="342"/>
      <c r="G136" s="342"/>
      <c r="H136" s="342"/>
    </row>
  </sheetData>
  <mergeCells count="191">
    <mergeCell ref="B126:H126"/>
    <mergeCell ref="P15:P17"/>
    <mergeCell ref="O44:O45"/>
    <mergeCell ref="O46:O47"/>
    <mergeCell ref="O48:O49"/>
    <mergeCell ref="O66:O67"/>
    <mergeCell ref="O68:O69"/>
    <mergeCell ref="O72:O73"/>
    <mergeCell ref="O74:O75"/>
    <mergeCell ref="O77:O79"/>
    <mergeCell ref="O81:O82"/>
    <mergeCell ref="L81:L82"/>
    <mergeCell ref="L88:L89"/>
    <mergeCell ref="L99:L101"/>
    <mergeCell ref="L102:L104"/>
    <mergeCell ref="L110:L111"/>
    <mergeCell ref="M81:M82"/>
    <mergeCell ref="O88:O89"/>
    <mergeCell ref="O99:O101"/>
    <mergeCell ref="O102:O104"/>
    <mergeCell ref="O110:O111"/>
    <mergeCell ref="F15:F17"/>
    <mergeCell ref="L16:L17"/>
    <mergeCell ref="L20:L21"/>
    <mergeCell ref="L23:L25"/>
    <mergeCell ref="L27:L28"/>
    <mergeCell ref="L29:L30"/>
    <mergeCell ref="L38:L39"/>
    <mergeCell ref="L41:L43"/>
    <mergeCell ref="O15:O17"/>
    <mergeCell ref="O19:O22"/>
    <mergeCell ref="O23:O25"/>
    <mergeCell ref="O27:O28"/>
    <mergeCell ref="O29:O30"/>
    <mergeCell ref="O32:O34"/>
    <mergeCell ref="O38:O39"/>
    <mergeCell ref="O41:O43"/>
    <mergeCell ref="B110:B111"/>
    <mergeCell ref="B46:B47"/>
    <mergeCell ref="K74:K75"/>
    <mergeCell ref="B77:B79"/>
    <mergeCell ref="C77:C79"/>
    <mergeCell ref="B88:B90"/>
    <mergeCell ref="C88:C90"/>
    <mergeCell ref="C48:C49"/>
    <mergeCell ref="C46:C47"/>
    <mergeCell ref="J110:J111"/>
    <mergeCell ref="J77:J79"/>
    <mergeCell ref="J88:J89"/>
    <mergeCell ref="C110:C111"/>
    <mergeCell ref="C81:C82"/>
    <mergeCell ref="B81:B82"/>
    <mergeCell ref="C102:C104"/>
    <mergeCell ref="B102:B104"/>
    <mergeCell ref="J102:J104"/>
    <mergeCell ref="K102:K104"/>
    <mergeCell ref="B74:B76"/>
    <mergeCell ref="C74:C76"/>
    <mergeCell ref="I102:I104"/>
    <mergeCell ref="I110:I111"/>
    <mergeCell ref="B71:B73"/>
    <mergeCell ref="C32:C34"/>
    <mergeCell ref="B41:B43"/>
    <mergeCell ref="B38:B39"/>
    <mergeCell ref="C41:C43"/>
    <mergeCell ref="B68:B69"/>
    <mergeCell ref="B66:B67"/>
    <mergeCell ref="J20:J21"/>
    <mergeCell ref="K41:K43"/>
    <mergeCell ref="C27:C28"/>
    <mergeCell ref="K38:K39"/>
    <mergeCell ref="J29:J30"/>
    <mergeCell ref="K48:K49"/>
    <mergeCell ref="J48:J49"/>
    <mergeCell ref="J41:J43"/>
    <mergeCell ref="B19:B22"/>
    <mergeCell ref="B23:B25"/>
    <mergeCell ref="C23:C25"/>
    <mergeCell ref="C19:C22"/>
    <mergeCell ref="J46:J47"/>
    <mergeCell ref="J38:J39"/>
    <mergeCell ref="B44:B45"/>
    <mergeCell ref="B32:B34"/>
    <mergeCell ref="C38:C39"/>
    <mergeCell ref="J27:J28"/>
    <mergeCell ref="C71:C73"/>
    <mergeCell ref="K72:K73"/>
    <mergeCell ref="J44:J45"/>
    <mergeCell ref="C99:C101"/>
    <mergeCell ref="B99:B101"/>
    <mergeCell ref="N81:N82"/>
    <mergeCell ref="J74:J75"/>
    <mergeCell ref="C44:C45"/>
    <mergeCell ref="B48:B49"/>
    <mergeCell ref="M74:M75"/>
    <mergeCell ref="N74:N75"/>
    <mergeCell ref="M46:M47"/>
    <mergeCell ref="M72:M73"/>
    <mergeCell ref="K46:K47"/>
    <mergeCell ref="N46:N47"/>
    <mergeCell ref="N72:N73"/>
    <mergeCell ref="N48:N49"/>
    <mergeCell ref="M48:M49"/>
    <mergeCell ref="N68:N69"/>
    <mergeCell ref="M68:M69"/>
    <mergeCell ref="L72:L73"/>
    <mergeCell ref="L74:L75"/>
    <mergeCell ref="L77:L79"/>
    <mergeCell ref="M66:M67"/>
    <mergeCell ref="J1:N1"/>
    <mergeCell ref="J2:N2"/>
    <mergeCell ref="J3:N3"/>
    <mergeCell ref="B9:N9"/>
    <mergeCell ref="K81:K82"/>
    <mergeCell ref="N41:N43"/>
    <mergeCell ref="K44:K45"/>
    <mergeCell ref="N44:N45"/>
    <mergeCell ref="M41:M43"/>
    <mergeCell ref="M20:M21"/>
    <mergeCell ref="K20:K21"/>
    <mergeCell ref="B11:N11"/>
    <mergeCell ref="J81:J82"/>
    <mergeCell ref="N77:N79"/>
    <mergeCell ref="M77:M79"/>
    <mergeCell ref="K77:K79"/>
    <mergeCell ref="E15:E17"/>
    <mergeCell ref="G15:G17"/>
    <mergeCell ref="H15:H17"/>
    <mergeCell ref="J15:J17"/>
    <mergeCell ref="N27:N28"/>
    <mergeCell ref="M27:M28"/>
    <mergeCell ref="K27:K28"/>
    <mergeCell ref="J72:J73"/>
    <mergeCell ref="K68:K69"/>
    <mergeCell ref="K66:K67"/>
    <mergeCell ref="J68:J69"/>
    <mergeCell ref="J66:J67"/>
    <mergeCell ref="M16:M17"/>
    <mergeCell ref="N16:N17"/>
    <mergeCell ref="K16:K17"/>
    <mergeCell ref="M29:M30"/>
    <mergeCell ref="K29:K30"/>
    <mergeCell ref="J32:J34"/>
    <mergeCell ref="J23:J25"/>
    <mergeCell ref="L44:L45"/>
    <mergeCell ref="L46:L47"/>
    <mergeCell ref="L48:L49"/>
    <mergeCell ref="L66:L67"/>
    <mergeCell ref="L68:L69"/>
    <mergeCell ref="M44:M45"/>
    <mergeCell ref="M38:M39"/>
    <mergeCell ref="N38:N39"/>
    <mergeCell ref="B15:B17"/>
    <mergeCell ref="K15:N15"/>
    <mergeCell ref="N29:N30"/>
    <mergeCell ref="I81:I82"/>
    <mergeCell ref="I77:I79"/>
    <mergeCell ref="I74:I76"/>
    <mergeCell ref="I71:I73"/>
    <mergeCell ref="C29:C30"/>
    <mergeCell ref="I44:I45"/>
    <mergeCell ref="I46:I47"/>
    <mergeCell ref="I48:I49"/>
    <mergeCell ref="I68:I69"/>
    <mergeCell ref="I66:I67"/>
    <mergeCell ref="C68:C69"/>
    <mergeCell ref="C66:C67"/>
    <mergeCell ref="C15:C17"/>
    <mergeCell ref="I15:I17"/>
    <mergeCell ref="N23:N25"/>
    <mergeCell ref="M23:M25"/>
    <mergeCell ref="K23:K25"/>
    <mergeCell ref="N20:N21"/>
    <mergeCell ref="N32:N34"/>
    <mergeCell ref="M32:M34"/>
    <mergeCell ref="N66:N67"/>
    <mergeCell ref="C112:D112"/>
    <mergeCell ref="N88:N89"/>
    <mergeCell ref="M88:M89"/>
    <mergeCell ref="K88:K89"/>
    <mergeCell ref="I88:I90"/>
    <mergeCell ref="J99:J101"/>
    <mergeCell ref="N99:N101"/>
    <mergeCell ref="M99:M101"/>
    <mergeCell ref="K99:K101"/>
    <mergeCell ref="I99:I101"/>
    <mergeCell ref="K110:K111"/>
    <mergeCell ref="N110:N111"/>
    <mergeCell ref="M110:M111"/>
    <mergeCell ref="N102:N104"/>
    <mergeCell ref="M102:M104"/>
  </mergeCells>
  <phoneticPr fontId="9" type="noConversion"/>
  <pageMargins left="0.39370078740157483" right="0.19685039370078741" top="0.39370078740157483" bottom="0.19685039370078741" header="0" footer="0"/>
  <pageSetup paperSize="9" scale="4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R141"/>
  <sheetViews>
    <sheetView zoomScaleNormal="100" workbookViewId="0">
      <pane ySplit="5" topLeftCell="A69" activePane="bottomLeft" state="frozen"/>
      <selection activeCell="C27" sqref="C27:C28"/>
      <selection pane="bottomLeft" activeCell="A133" sqref="A133:XFD135"/>
    </sheetView>
  </sheetViews>
  <sheetFormatPr defaultColWidth="9.140625" defaultRowHeight="30" customHeight="1" x14ac:dyDescent="0.2"/>
  <cols>
    <col min="1" max="1" width="2.42578125" style="6" customWidth="1"/>
    <col min="2" max="2" width="17.28515625" style="7" customWidth="1"/>
    <col min="3" max="3" width="59.28515625" style="179" customWidth="1"/>
    <col min="4" max="4" width="8.7109375" style="179" customWidth="1"/>
    <col min="5" max="5" width="12.85546875" style="163" customWidth="1"/>
    <col min="6" max="6" width="16.42578125" style="163" customWidth="1"/>
    <col min="7" max="8" width="12.85546875" style="163" customWidth="1"/>
    <col min="9" max="9" width="11.5703125" style="180" customWidth="1"/>
    <col min="10" max="10" width="45.28515625" style="372" customWidth="1"/>
    <col min="11" max="11" width="10.140625" style="386" customWidth="1"/>
    <col min="12" max="12" width="15.85546875" style="722" customWidth="1"/>
    <col min="13" max="13" width="9.5703125" style="386" customWidth="1"/>
    <col min="14" max="14" width="11.140625" style="386" customWidth="1"/>
    <col min="15" max="15" width="47.42578125" style="657" customWidth="1"/>
    <col min="16" max="16" width="7.140625" style="1190" customWidth="1"/>
    <col min="17" max="16384" width="9.140625" style="6"/>
  </cols>
  <sheetData>
    <row r="1" spans="1:18" ht="18.75" customHeight="1" x14ac:dyDescent="0.2"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373"/>
      <c r="O1" s="631"/>
    </row>
    <row r="2" spans="1:18" s="95" customFormat="1" ht="33" customHeight="1" x14ac:dyDescent="0.2">
      <c r="B2" s="978" t="s">
        <v>933</v>
      </c>
      <c r="C2" s="978"/>
      <c r="D2" s="978"/>
      <c r="E2" s="978"/>
      <c r="F2" s="978"/>
      <c r="G2" s="978"/>
      <c r="H2" s="978"/>
      <c r="I2" s="978"/>
      <c r="J2" s="978"/>
      <c r="K2" s="978"/>
      <c r="L2" s="978"/>
      <c r="M2" s="978"/>
      <c r="N2" s="374"/>
      <c r="O2" s="632"/>
      <c r="P2" s="1191"/>
    </row>
    <row r="3" spans="1:18" ht="14.25" customHeight="1" x14ac:dyDescent="0.2">
      <c r="B3" s="69"/>
      <c r="C3" s="148"/>
      <c r="D3" s="148"/>
      <c r="E3" s="149"/>
      <c r="F3" s="149"/>
      <c r="G3" s="149"/>
      <c r="H3" s="149"/>
      <c r="I3" s="387"/>
      <c r="J3" s="349"/>
      <c r="K3" s="375"/>
      <c r="L3" s="708"/>
      <c r="M3" s="375"/>
      <c r="N3" s="375"/>
      <c r="O3" s="633"/>
    </row>
    <row r="4" spans="1:18" ht="36" customHeight="1" x14ac:dyDescent="0.2">
      <c r="A4" s="7"/>
      <c r="B4" s="976" t="s">
        <v>27</v>
      </c>
      <c r="C4" s="976" t="s">
        <v>68</v>
      </c>
      <c r="D4" s="976"/>
      <c r="E4" s="822" t="s">
        <v>1091</v>
      </c>
      <c r="F4" s="1006" t="s">
        <v>945</v>
      </c>
      <c r="G4" s="742" t="s">
        <v>266</v>
      </c>
      <c r="H4" s="742" t="s">
        <v>856</v>
      </c>
      <c r="I4" s="980" t="s">
        <v>174</v>
      </c>
      <c r="J4" s="742" t="s">
        <v>697</v>
      </c>
      <c r="K4" s="766" t="s">
        <v>863</v>
      </c>
      <c r="L4" s="767"/>
      <c r="M4" s="767"/>
      <c r="N4" s="768"/>
      <c r="O4" s="787" t="s">
        <v>946</v>
      </c>
      <c r="P4" s="1197" t="s">
        <v>1096</v>
      </c>
    </row>
    <row r="5" spans="1:18" ht="28.5" customHeight="1" x14ac:dyDescent="0.2">
      <c r="A5" s="7"/>
      <c r="B5" s="976"/>
      <c r="C5" s="976"/>
      <c r="D5" s="976"/>
      <c r="E5" s="823"/>
      <c r="F5" s="1007"/>
      <c r="G5" s="743"/>
      <c r="H5" s="743"/>
      <c r="I5" s="980"/>
      <c r="J5" s="743"/>
      <c r="K5" s="976" t="s">
        <v>455</v>
      </c>
      <c r="L5" s="1009" t="s">
        <v>975</v>
      </c>
      <c r="M5" s="976" t="s">
        <v>456</v>
      </c>
      <c r="N5" s="976" t="s">
        <v>721</v>
      </c>
      <c r="O5" s="788"/>
      <c r="P5" s="1197"/>
    </row>
    <row r="6" spans="1:18" ht="32.25" customHeight="1" x14ac:dyDescent="0.2">
      <c r="A6" s="7"/>
      <c r="B6" s="976"/>
      <c r="C6" s="976"/>
      <c r="D6" s="976"/>
      <c r="E6" s="824"/>
      <c r="F6" s="1008"/>
      <c r="G6" s="744"/>
      <c r="H6" s="744"/>
      <c r="I6" s="980"/>
      <c r="J6" s="744"/>
      <c r="K6" s="976"/>
      <c r="L6" s="1009"/>
      <c r="M6" s="976"/>
      <c r="N6" s="976"/>
      <c r="O6" s="789"/>
      <c r="P6" s="1197"/>
    </row>
    <row r="7" spans="1:18" s="93" customFormat="1" ht="69.75" customHeight="1" x14ac:dyDescent="0.2">
      <c r="B7" s="468" t="s">
        <v>942</v>
      </c>
      <c r="C7" s="981" t="s">
        <v>822</v>
      </c>
      <c r="D7" s="982"/>
      <c r="E7" s="518">
        <f>SUM(E8:E20)</f>
        <v>2476.1999999999998</v>
      </c>
      <c r="F7" s="518">
        <f t="shared" ref="F7:H7" si="0">SUM(F8:F20)</f>
        <v>2582.6999999999998</v>
      </c>
      <c r="G7" s="518">
        <f t="shared" si="0"/>
        <v>1941</v>
      </c>
      <c r="H7" s="518">
        <f t="shared" si="0"/>
        <v>1946</v>
      </c>
      <c r="I7" s="469"/>
      <c r="J7" s="470" t="s">
        <v>909</v>
      </c>
      <c r="K7" s="471" t="s">
        <v>910</v>
      </c>
      <c r="L7" s="471" t="s">
        <v>910</v>
      </c>
      <c r="M7" s="471" t="s">
        <v>910</v>
      </c>
      <c r="N7" s="471" t="s">
        <v>910</v>
      </c>
      <c r="O7" s="634"/>
      <c r="P7" s="1192"/>
      <c r="Q7" s="147"/>
    </row>
    <row r="8" spans="1:18" ht="64.5" customHeight="1" x14ac:dyDescent="0.2">
      <c r="B8" s="21" t="s">
        <v>14</v>
      </c>
      <c r="C8" s="168" t="s">
        <v>325</v>
      </c>
      <c r="D8" s="168" t="s">
        <v>297</v>
      </c>
      <c r="E8" s="129">
        <v>136.19999999999999</v>
      </c>
      <c r="F8" s="611">
        <v>158</v>
      </c>
      <c r="G8" s="129">
        <v>158</v>
      </c>
      <c r="H8" s="129">
        <v>158</v>
      </c>
      <c r="I8" s="133" t="s">
        <v>190</v>
      </c>
      <c r="J8" s="350" t="s">
        <v>673</v>
      </c>
      <c r="K8" s="376">
        <v>100</v>
      </c>
      <c r="L8" s="709">
        <v>100</v>
      </c>
      <c r="M8" s="376">
        <v>100</v>
      </c>
      <c r="N8" s="376">
        <v>100</v>
      </c>
      <c r="O8" s="635" t="s">
        <v>1048</v>
      </c>
      <c r="P8" s="1193">
        <f>+F8-E8</f>
        <v>21.800000000000011</v>
      </c>
      <c r="Q8" s="94"/>
      <c r="R8" s="94"/>
    </row>
    <row r="9" spans="1:18" ht="33.75" customHeight="1" x14ac:dyDescent="0.2">
      <c r="B9" s="865" t="s">
        <v>16</v>
      </c>
      <c r="C9" s="797" t="s">
        <v>1004</v>
      </c>
      <c r="D9" s="168" t="s">
        <v>0</v>
      </c>
      <c r="E9" s="130">
        <v>153.30000000000001</v>
      </c>
      <c r="F9" s="130">
        <v>153.30000000000001</v>
      </c>
      <c r="G9" s="130">
        <v>163</v>
      </c>
      <c r="H9" s="130">
        <v>166</v>
      </c>
      <c r="I9" s="911" t="s">
        <v>211</v>
      </c>
      <c r="J9" s="979" t="s">
        <v>674</v>
      </c>
      <c r="K9" s="956">
        <v>100</v>
      </c>
      <c r="L9" s="946">
        <v>100</v>
      </c>
      <c r="M9" s="956">
        <v>100</v>
      </c>
      <c r="N9" s="956">
        <v>100</v>
      </c>
      <c r="O9" s="991"/>
      <c r="P9" s="1193">
        <f t="shared" ref="P9:P73" si="1">+F9-E9</f>
        <v>0</v>
      </c>
      <c r="Q9" s="94"/>
    </row>
    <row r="10" spans="1:18" ht="27.75" customHeight="1" x14ac:dyDescent="0.2">
      <c r="B10" s="867"/>
      <c r="C10" s="798"/>
      <c r="D10" s="168" t="s">
        <v>4</v>
      </c>
      <c r="E10" s="130">
        <v>1.8</v>
      </c>
      <c r="F10" s="658">
        <v>7.5</v>
      </c>
      <c r="G10" s="130">
        <v>7.5</v>
      </c>
      <c r="H10" s="130">
        <v>7.5</v>
      </c>
      <c r="I10" s="912"/>
      <c r="J10" s="979"/>
      <c r="K10" s="956"/>
      <c r="L10" s="946"/>
      <c r="M10" s="956"/>
      <c r="N10" s="956"/>
      <c r="O10" s="991"/>
      <c r="P10" s="1193">
        <f t="shared" si="1"/>
        <v>5.7</v>
      </c>
    </row>
    <row r="11" spans="1:18" ht="44.25" customHeight="1" x14ac:dyDescent="0.2">
      <c r="B11" s="866"/>
      <c r="C11" s="799"/>
      <c r="D11" s="168" t="s">
        <v>3</v>
      </c>
      <c r="E11" s="129">
        <v>525.6</v>
      </c>
      <c r="F11" s="129">
        <v>525.6</v>
      </c>
      <c r="G11" s="129">
        <v>529</v>
      </c>
      <c r="H11" s="129">
        <v>531</v>
      </c>
      <c r="I11" s="297" t="s">
        <v>212</v>
      </c>
      <c r="J11" s="352" t="s">
        <v>888</v>
      </c>
      <c r="K11" s="376" t="s">
        <v>887</v>
      </c>
      <c r="L11" s="709" t="s">
        <v>887</v>
      </c>
      <c r="M11" s="376" t="s">
        <v>887</v>
      </c>
      <c r="N11" s="376" t="s">
        <v>887</v>
      </c>
      <c r="O11" s="637"/>
      <c r="P11" s="1193">
        <f t="shared" si="1"/>
        <v>0</v>
      </c>
    </row>
    <row r="12" spans="1:18" ht="22.5" customHeight="1" x14ac:dyDescent="0.2">
      <c r="B12" s="865" t="s">
        <v>374</v>
      </c>
      <c r="C12" s="817" t="s">
        <v>998</v>
      </c>
      <c r="D12" s="168" t="s">
        <v>0</v>
      </c>
      <c r="E12" s="129">
        <v>35.299999999999997</v>
      </c>
      <c r="F12" s="129">
        <v>35.299999999999997</v>
      </c>
      <c r="G12" s="129">
        <v>26.5</v>
      </c>
      <c r="H12" s="129">
        <v>26.5</v>
      </c>
      <c r="I12" s="911" t="s">
        <v>190</v>
      </c>
      <c r="J12" s="916" t="s">
        <v>675</v>
      </c>
      <c r="K12" s="956" t="s">
        <v>737</v>
      </c>
      <c r="L12" s="946" t="s">
        <v>737</v>
      </c>
      <c r="M12" s="956" t="s">
        <v>737</v>
      </c>
      <c r="N12" s="956" t="s">
        <v>737</v>
      </c>
      <c r="O12" s="992"/>
      <c r="P12" s="1193">
        <f t="shared" si="1"/>
        <v>0</v>
      </c>
    </row>
    <row r="13" spans="1:18" ht="22.5" customHeight="1" x14ac:dyDescent="0.2">
      <c r="B13" s="866"/>
      <c r="C13" s="818"/>
      <c r="D13" s="168" t="s">
        <v>1</v>
      </c>
      <c r="E13" s="129">
        <v>150</v>
      </c>
      <c r="F13" s="129">
        <v>150</v>
      </c>
      <c r="G13" s="129">
        <v>150</v>
      </c>
      <c r="H13" s="129">
        <v>150</v>
      </c>
      <c r="I13" s="912"/>
      <c r="J13" s="917"/>
      <c r="K13" s="956"/>
      <c r="L13" s="946"/>
      <c r="M13" s="956"/>
      <c r="N13" s="956"/>
      <c r="O13" s="993"/>
      <c r="P13" s="1193">
        <f t="shared" si="1"/>
        <v>0</v>
      </c>
    </row>
    <row r="14" spans="1:18" ht="61.5" customHeight="1" x14ac:dyDescent="0.2">
      <c r="B14" s="22" t="s">
        <v>805</v>
      </c>
      <c r="C14" s="318" t="s">
        <v>823</v>
      </c>
      <c r="D14" s="168" t="s">
        <v>0</v>
      </c>
      <c r="E14" s="129">
        <v>1342</v>
      </c>
      <c r="F14" s="129">
        <v>1342</v>
      </c>
      <c r="G14" s="129">
        <v>800</v>
      </c>
      <c r="H14" s="129">
        <v>800</v>
      </c>
      <c r="I14" s="297" t="s">
        <v>190</v>
      </c>
      <c r="J14" s="452" t="s">
        <v>920</v>
      </c>
      <c r="K14" s="453" t="s">
        <v>907</v>
      </c>
      <c r="L14" s="453" t="s">
        <v>907</v>
      </c>
      <c r="M14" s="453" t="s">
        <v>907</v>
      </c>
      <c r="N14" s="453" t="s">
        <v>907</v>
      </c>
      <c r="O14" s="638"/>
      <c r="P14" s="1193">
        <f t="shared" si="1"/>
        <v>0</v>
      </c>
    </row>
    <row r="15" spans="1:18" s="48" customFormat="1" ht="27" customHeight="1" x14ac:dyDescent="0.2">
      <c r="A15" s="49"/>
      <c r="B15" s="865" t="s">
        <v>806</v>
      </c>
      <c r="C15" s="815" t="s">
        <v>1005</v>
      </c>
      <c r="D15" s="176" t="s">
        <v>1</v>
      </c>
      <c r="E15" s="150">
        <v>100</v>
      </c>
      <c r="F15" s="150">
        <v>100</v>
      </c>
      <c r="G15" s="150">
        <v>80</v>
      </c>
      <c r="H15" s="150">
        <v>80</v>
      </c>
      <c r="I15" s="911" t="s">
        <v>191</v>
      </c>
      <c r="J15" s="933" t="s">
        <v>679</v>
      </c>
      <c r="K15" s="926"/>
      <c r="L15" s="1010"/>
      <c r="M15" s="926"/>
      <c r="N15" s="977" t="s">
        <v>475</v>
      </c>
      <c r="O15" s="994"/>
      <c r="P15" s="1193">
        <f t="shared" si="1"/>
        <v>0</v>
      </c>
    </row>
    <row r="16" spans="1:18" s="48" customFormat="1" ht="18" customHeight="1" x14ac:dyDescent="0.2">
      <c r="A16" s="49"/>
      <c r="B16" s="867"/>
      <c r="C16" s="841"/>
      <c r="D16" s="176" t="s">
        <v>0</v>
      </c>
      <c r="E16" s="150">
        <v>2</v>
      </c>
      <c r="F16" s="150">
        <v>2</v>
      </c>
      <c r="G16" s="150">
        <v>0</v>
      </c>
      <c r="H16" s="150">
        <v>0</v>
      </c>
      <c r="I16" s="930"/>
      <c r="J16" s="934"/>
      <c r="K16" s="926"/>
      <c r="L16" s="1010"/>
      <c r="M16" s="926"/>
      <c r="N16" s="977"/>
      <c r="O16" s="995"/>
      <c r="P16" s="1193">
        <f t="shared" si="1"/>
        <v>0</v>
      </c>
    </row>
    <row r="17" spans="1:16" s="48" customFormat="1" ht="23.25" customHeight="1" x14ac:dyDescent="0.2">
      <c r="A17" s="49"/>
      <c r="B17" s="866"/>
      <c r="C17" s="816"/>
      <c r="D17" s="176" t="s">
        <v>3</v>
      </c>
      <c r="E17" s="150">
        <v>15</v>
      </c>
      <c r="F17" s="150">
        <v>15</v>
      </c>
      <c r="G17" s="150">
        <v>12</v>
      </c>
      <c r="H17" s="150">
        <v>12</v>
      </c>
      <c r="I17" s="912"/>
      <c r="J17" s="935"/>
      <c r="K17" s="926"/>
      <c r="L17" s="1010"/>
      <c r="M17" s="926"/>
      <c r="N17" s="977"/>
      <c r="O17" s="996"/>
      <c r="P17" s="1193">
        <f t="shared" si="1"/>
        <v>0</v>
      </c>
    </row>
    <row r="18" spans="1:16" s="7" customFormat="1" ht="50.25" customHeight="1" x14ac:dyDescent="0.2">
      <c r="B18" s="21" t="s">
        <v>807</v>
      </c>
      <c r="C18" s="170" t="s">
        <v>921</v>
      </c>
      <c r="D18" s="170" t="s">
        <v>0</v>
      </c>
      <c r="E18" s="129">
        <v>15</v>
      </c>
      <c r="F18" s="617">
        <v>10</v>
      </c>
      <c r="G18" s="129">
        <v>15</v>
      </c>
      <c r="H18" s="129">
        <v>15</v>
      </c>
      <c r="I18" s="388" t="s">
        <v>229</v>
      </c>
      <c r="J18" s="354" t="s">
        <v>676</v>
      </c>
      <c r="K18" s="376">
        <v>3</v>
      </c>
      <c r="L18" s="710">
        <v>2</v>
      </c>
      <c r="M18" s="376">
        <v>3</v>
      </c>
      <c r="N18" s="376">
        <v>3</v>
      </c>
      <c r="O18" s="639" t="s">
        <v>1080</v>
      </c>
      <c r="P18" s="1193">
        <f t="shared" si="1"/>
        <v>-5</v>
      </c>
    </row>
    <row r="19" spans="1:16" s="7" customFormat="1" ht="50.25" customHeight="1" x14ac:dyDescent="0.2">
      <c r="B19" s="619" t="s">
        <v>977</v>
      </c>
      <c r="C19" s="620" t="s">
        <v>978</v>
      </c>
      <c r="D19" s="621" t="s">
        <v>3</v>
      </c>
      <c r="E19" s="622">
        <v>0</v>
      </c>
      <c r="F19" s="623">
        <v>57.3</v>
      </c>
      <c r="G19" s="623">
        <v>0</v>
      </c>
      <c r="H19" s="623">
        <v>0</v>
      </c>
      <c r="I19" s="663" t="s">
        <v>190</v>
      </c>
      <c r="J19" s="624" t="s">
        <v>979</v>
      </c>
      <c r="K19" s="625"/>
      <c r="L19" s="664">
        <v>2</v>
      </c>
      <c r="M19" s="626"/>
      <c r="N19" s="626"/>
      <c r="O19" s="640" t="s">
        <v>1036</v>
      </c>
      <c r="P19" s="1193">
        <f t="shared" si="1"/>
        <v>57.3</v>
      </c>
    </row>
    <row r="20" spans="1:16" s="7" customFormat="1" ht="48.75" customHeight="1" x14ac:dyDescent="0.2">
      <c r="B20" s="619" t="s">
        <v>1050</v>
      </c>
      <c r="C20" s="620" t="s">
        <v>1061</v>
      </c>
      <c r="D20" s="621" t="s">
        <v>3</v>
      </c>
      <c r="E20" s="622">
        <v>0</v>
      </c>
      <c r="F20" s="623">
        <v>26.7</v>
      </c>
      <c r="G20" s="623">
        <v>0</v>
      </c>
      <c r="H20" s="623">
        <v>0</v>
      </c>
      <c r="I20" s="663" t="s">
        <v>190</v>
      </c>
      <c r="J20" s="624" t="s">
        <v>1051</v>
      </c>
      <c r="K20" s="625"/>
      <c r="L20" s="665" t="s">
        <v>735</v>
      </c>
      <c r="M20" s="626"/>
      <c r="N20" s="626"/>
      <c r="O20" s="640" t="s">
        <v>1052</v>
      </c>
      <c r="P20" s="1193">
        <f t="shared" si="1"/>
        <v>26.7</v>
      </c>
    </row>
    <row r="21" spans="1:16" s="89" customFormat="1" ht="39" customHeight="1" x14ac:dyDescent="0.2">
      <c r="B21" s="401" t="s">
        <v>17</v>
      </c>
      <c r="C21" s="983" t="s">
        <v>21</v>
      </c>
      <c r="D21" s="984"/>
      <c r="E21" s="399">
        <f t="shared" ref="E21:H21" si="2">SUM(E22:E29)</f>
        <v>2059</v>
      </c>
      <c r="F21" s="399">
        <f t="shared" si="2"/>
        <v>1959</v>
      </c>
      <c r="G21" s="399">
        <f t="shared" si="2"/>
        <v>3117</v>
      </c>
      <c r="H21" s="399">
        <f t="shared" si="2"/>
        <v>1652.4</v>
      </c>
      <c r="I21" s="458"/>
      <c r="J21" s="467" t="s">
        <v>693</v>
      </c>
      <c r="K21" s="460" t="s">
        <v>478</v>
      </c>
      <c r="L21" s="711" t="s">
        <v>478</v>
      </c>
      <c r="M21" s="460" t="s">
        <v>478</v>
      </c>
      <c r="N21" s="460" t="s">
        <v>478</v>
      </c>
      <c r="O21" s="641"/>
      <c r="P21" s="1193">
        <f t="shared" si="1"/>
        <v>-100</v>
      </c>
    </row>
    <row r="22" spans="1:16" s="7" customFormat="1" ht="20.25" customHeight="1" x14ac:dyDescent="0.2">
      <c r="B22" s="865" t="s">
        <v>802</v>
      </c>
      <c r="C22" s="797" t="s">
        <v>1006</v>
      </c>
      <c r="D22" s="168" t="s">
        <v>1</v>
      </c>
      <c r="E22" s="133">
        <v>654</v>
      </c>
      <c r="F22" s="133">
        <v>654</v>
      </c>
      <c r="G22" s="133">
        <v>0</v>
      </c>
      <c r="H22" s="133">
        <v>0</v>
      </c>
      <c r="I22" s="911" t="s">
        <v>191</v>
      </c>
      <c r="J22" s="936" t="s">
        <v>677</v>
      </c>
      <c r="K22" s="926"/>
      <c r="L22" s="1010"/>
      <c r="M22" s="926"/>
      <c r="N22" s="977" t="s">
        <v>475</v>
      </c>
      <c r="O22" s="997"/>
      <c r="P22" s="1193">
        <f t="shared" si="1"/>
        <v>0</v>
      </c>
    </row>
    <row r="23" spans="1:16" s="7" customFormat="1" ht="20.25" customHeight="1" x14ac:dyDescent="0.2">
      <c r="B23" s="867"/>
      <c r="C23" s="798"/>
      <c r="D23" s="168" t="s">
        <v>0</v>
      </c>
      <c r="E23" s="133">
        <v>500</v>
      </c>
      <c r="F23" s="133">
        <v>500</v>
      </c>
      <c r="G23" s="133">
        <v>1440</v>
      </c>
      <c r="H23" s="133">
        <v>0</v>
      </c>
      <c r="I23" s="930"/>
      <c r="J23" s="937"/>
      <c r="K23" s="926"/>
      <c r="L23" s="1010"/>
      <c r="M23" s="926"/>
      <c r="N23" s="977"/>
      <c r="O23" s="998"/>
      <c r="P23" s="1193">
        <f t="shared" si="1"/>
        <v>0</v>
      </c>
    </row>
    <row r="24" spans="1:16" s="7" customFormat="1" ht="20.25" customHeight="1" x14ac:dyDescent="0.2">
      <c r="B24" s="867"/>
      <c r="C24" s="798"/>
      <c r="D24" s="168" t="s">
        <v>3</v>
      </c>
      <c r="E24" s="133">
        <v>116</v>
      </c>
      <c r="F24" s="133">
        <v>116</v>
      </c>
      <c r="G24" s="133">
        <v>0</v>
      </c>
      <c r="H24" s="133">
        <v>0</v>
      </c>
      <c r="I24" s="930"/>
      <c r="J24" s="937"/>
      <c r="K24" s="926"/>
      <c r="L24" s="1010"/>
      <c r="M24" s="926"/>
      <c r="N24" s="977"/>
      <c r="O24" s="998"/>
      <c r="P24" s="1193">
        <f t="shared" si="1"/>
        <v>0</v>
      </c>
    </row>
    <row r="25" spans="1:16" s="7" customFormat="1" ht="20.25" customHeight="1" x14ac:dyDescent="0.2">
      <c r="B25" s="866"/>
      <c r="C25" s="799"/>
      <c r="D25" s="168" t="s">
        <v>269</v>
      </c>
      <c r="E25" s="133">
        <v>112</v>
      </c>
      <c r="F25" s="133">
        <v>112</v>
      </c>
      <c r="G25" s="133">
        <v>0</v>
      </c>
      <c r="H25" s="133">
        <v>0</v>
      </c>
      <c r="I25" s="912"/>
      <c r="J25" s="938"/>
      <c r="K25" s="926"/>
      <c r="L25" s="1010"/>
      <c r="M25" s="926"/>
      <c r="N25" s="977"/>
      <c r="O25" s="999"/>
      <c r="P25" s="1193">
        <f t="shared" si="1"/>
        <v>0</v>
      </c>
    </row>
    <row r="26" spans="1:16" s="7" customFormat="1" ht="27.75" customHeight="1" x14ac:dyDescent="0.2">
      <c r="B26" s="865" t="s">
        <v>803</v>
      </c>
      <c r="C26" s="879" t="s">
        <v>1007</v>
      </c>
      <c r="D26" s="171" t="s">
        <v>0</v>
      </c>
      <c r="E26" s="150">
        <v>75</v>
      </c>
      <c r="F26" s="542">
        <v>25</v>
      </c>
      <c r="G26" s="150">
        <v>225</v>
      </c>
      <c r="H26" s="542">
        <f>225+50</f>
        <v>275</v>
      </c>
      <c r="I26" s="133" t="s">
        <v>191</v>
      </c>
      <c r="J26" s="936" t="s">
        <v>677</v>
      </c>
      <c r="K26" s="926"/>
      <c r="L26" s="1010"/>
      <c r="M26" s="926"/>
      <c r="N26" s="977" t="s">
        <v>475</v>
      </c>
      <c r="O26" s="997" t="s">
        <v>1049</v>
      </c>
      <c r="P26" s="1193">
        <f t="shared" si="1"/>
        <v>-50</v>
      </c>
    </row>
    <row r="27" spans="1:16" s="7" customFormat="1" ht="36.75" customHeight="1" x14ac:dyDescent="0.2">
      <c r="B27" s="866"/>
      <c r="C27" s="880"/>
      <c r="D27" s="171" t="s">
        <v>1</v>
      </c>
      <c r="E27" s="150">
        <v>425</v>
      </c>
      <c r="F27" s="662">
        <f>425-50</f>
        <v>375</v>
      </c>
      <c r="G27" s="150">
        <v>1275</v>
      </c>
      <c r="H27" s="661">
        <f>1275+50</f>
        <v>1325</v>
      </c>
      <c r="I27" s="333"/>
      <c r="J27" s="938"/>
      <c r="K27" s="926"/>
      <c r="L27" s="1010"/>
      <c r="M27" s="926"/>
      <c r="N27" s="977"/>
      <c r="O27" s="999"/>
      <c r="P27" s="1193">
        <f t="shared" si="1"/>
        <v>-50</v>
      </c>
    </row>
    <row r="28" spans="1:16" s="48" customFormat="1" ht="33" customHeight="1" x14ac:dyDescent="0.2">
      <c r="A28" s="49"/>
      <c r="B28" s="865" t="s">
        <v>804</v>
      </c>
      <c r="C28" s="815" t="s">
        <v>1008</v>
      </c>
      <c r="D28" s="176" t="s">
        <v>1</v>
      </c>
      <c r="E28" s="150">
        <v>150</v>
      </c>
      <c r="F28" s="150">
        <v>150</v>
      </c>
      <c r="G28" s="150">
        <v>150</v>
      </c>
      <c r="H28" s="150">
        <v>45.4</v>
      </c>
      <c r="I28" s="911" t="s">
        <v>191</v>
      </c>
      <c r="J28" s="933" t="s">
        <v>678</v>
      </c>
      <c r="K28" s="926"/>
      <c r="L28" s="1010"/>
      <c r="M28" s="926"/>
      <c r="N28" s="977" t="s">
        <v>475</v>
      </c>
      <c r="O28" s="994"/>
      <c r="P28" s="1193">
        <f t="shared" si="1"/>
        <v>0</v>
      </c>
    </row>
    <row r="29" spans="1:16" s="48" customFormat="1" ht="30.75" customHeight="1" x14ac:dyDescent="0.2">
      <c r="A29" s="49"/>
      <c r="B29" s="866"/>
      <c r="C29" s="816"/>
      <c r="D29" s="176" t="s">
        <v>3</v>
      </c>
      <c r="E29" s="150">
        <v>27</v>
      </c>
      <c r="F29" s="150">
        <v>27</v>
      </c>
      <c r="G29" s="150">
        <v>27</v>
      </c>
      <c r="H29" s="150">
        <v>7</v>
      </c>
      <c r="I29" s="912"/>
      <c r="J29" s="935"/>
      <c r="K29" s="926"/>
      <c r="L29" s="1010"/>
      <c r="M29" s="926"/>
      <c r="N29" s="977"/>
      <c r="O29" s="996"/>
      <c r="P29" s="1193">
        <f t="shared" si="1"/>
        <v>0</v>
      </c>
    </row>
    <row r="30" spans="1:16" s="83" customFormat="1" ht="61.5" customHeight="1" x14ac:dyDescent="0.2">
      <c r="B30" s="402" t="s">
        <v>838</v>
      </c>
      <c r="C30" s="461" t="s">
        <v>29</v>
      </c>
      <c r="D30" s="462"/>
      <c r="E30" s="399">
        <f>SUM(E31:E49)</f>
        <v>31799.899999999998</v>
      </c>
      <c r="F30" s="399">
        <f t="shared" ref="F30:H30" si="3">SUM(F31:F49)</f>
        <v>31276.199999999997</v>
      </c>
      <c r="G30" s="399">
        <f t="shared" si="3"/>
        <v>32416.899999999998</v>
      </c>
      <c r="H30" s="399">
        <f t="shared" si="3"/>
        <v>33022.9</v>
      </c>
      <c r="I30" s="458"/>
      <c r="J30" s="459" t="s">
        <v>692</v>
      </c>
      <c r="K30" s="460" t="s">
        <v>470</v>
      </c>
      <c r="L30" s="711" t="s">
        <v>470</v>
      </c>
      <c r="M30" s="460" t="s">
        <v>470</v>
      </c>
      <c r="N30" s="460" t="s">
        <v>470</v>
      </c>
      <c r="O30" s="642"/>
      <c r="P30" s="1193">
        <f t="shared" si="1"/>
        <v>-523.70000000000073</v>
      </c>
    </row>
    <row r="31" spans="1:16" s="16" customFormat="1" ht="28.5" customHeight="1" x14ac:dyDescent="0.2">
      <c r="B31" s="865" t="s">
        <v>18</v>
      </c>
      <c r="C31" s="797" t="s">
        <v>426</v>
      </c>
      <c r="D31" s="194" t="s">
        <v>3</v>
      </c>
      <c r="E31" s="152">
        <v>487.3</v>
      </c>
      <c r="F31" s="152">
        <v>487.3</v>
      </c>
      <c r="G31" s="152">
        <v>490</v>
      </c>
      <c r="H31" s="152">
        <v>490</v>
      </c>
      <c r="I31" s="909" t="s">
        <v>232</v>
      </c>
      <c r="J31" s="940" t="s">
        <v>562</v>
      </c>
      <c r="K31" s="914" t="s">
        <v>765</v>
      </c>
      <c r="L31" s="907" t="s">
        <v>765</v>
      </c>
      <c r="M31" s="914" t="s">
        <v>765</v>
      </c>
      <c r="N31" s="914" t="s">
        <v>765</v>
      </c>
      <c r="O31" s="1036"/>
      <c r="P31" s="1193">
        <f t="shared" si="1"/>
        <v>0</v>
      </c>
    </row>
    <row r="32" spans="1:16" s="16" customFormat="1" ht="27" customHeight="1" x14ac:dyDescent="0.2">
      <c r="B32" s="866"/>
      <c r="C32" s="799"/>
      <c r="D32" s="194" t="s">
        <v>0</v>
      </c>
      <c r="E32" s="152">
        <v>4257.7</v>
      </c>
      <c r="F32" s="152">
        <v>4257.7</v>
      </c>
      <c r="G32" s="152">
        <v>4300</v>
      </c>
      <c r="H32" s="152">
        <v>4300</v>
      </c>
      <c r="I32" s="910"/>
      <c r="J32" s="941"/>
      <c r="K32" s="915"/>
      <c r="L32" s="908"/>
      <c r="M32" s="915"/>
      <c r="N32" s="915"/>
      <c r="O32" s="1037"/>
      <c r="P32" s="1193">
        <f t="shared" si="1"/>
        <v>0</v>
      </c>
    </row>
    <row r="33" spans="2:16" s="16" customFormat="1" ht="21" customHeight="1" x14ac:dyDescent="0.2">
      <c r="B33" s="865" t="s">
        <v>19</v>
      </c>
      <c r="C33" s="879" t="s">
        <v>305</v>
      </c>
      <c r="D33" s="879" t="s">
        <v>3</v>
      </c>
      <c r="E33" s="972">
        <v>1345.8</v>
      </c>
      <c r="F33" s="974">
        <f>1345.8-56.3</f>
        <v>1289.5</v>
      </c>
      <c r="G33" s="972">
        <v>1376</v>
      </c>
      <c r="H33" s="972">
        <v>1378</v>
      </c>
      <c r="I33" s="297" t="s">
        <v>232</v>
      </c>
      <c r="J33" s="355" t="s">
        <v>563</v>
      </c>
      <c r="K33" s="377" t="s">
        <v>760</v>
      </c>
      <c r="L33" s="712" t="s">
        <v>760</v>
      </c>
      <c r="M33" s="377" t="s">
        <v>761</v>
      </c>
      <c r="N33" s="377" t="s">
        <v>762</v>
      </c>
      <c r="O33" s="566"/>
      <c r="P33" s="1193">
        <f t="shared" si="1"/>
        <v>-56.299999999999955</v>
      </c>
    </row>
    <row r="34" spans="2:16" s="16" customFormat="1" ht="29.25" customHeight="1" x14ac:dyDescent="0.2">
      <c r="B34" s="866"/>
      <c r="C34" s="880"/>
      <c r="D34" s="880"/>
      <c r="E34" s="973"/>
      <c r="F34" s="975"/>
      <c r="G34" s="973"/>
      <c r="H34" s="973"/>
      <c r="I34" s="388"/>
      <c r="J34" s="355" t="s">
        <v>564</v>
      </c>
      <c r="K34" s="377" t="s">
        <v>763</v>
      </c>
      <c r="L34" s="712" t="s">
        <v>763</v>
      </c>
      <c r="M34" s="377" t="s">
        <v>588</v>
      </c>
      <c r="N34" s="377" t="s">
        <v>764</v>
      </c>
      <c r="O34" s="643" t="s">
        <v>1047</v>
      </c>
      <c r="P34" s="1193">
        <f t="shared" si="1"/>
        <v>0</v>
      </c>
    </row>
    <row r="35" spans="2:16" s="16" customFormat="1" ht="30.75" customHeight="1" x14ac:dyDescent="0.2">
      <c r="B35" s="22" t="s">
        <v>20</v>
      </c>
      <c r="C35" s="171" t="s">
        <v>32</v>
      </c>
      <c r="D35" s="172" t="s">
        <v>0</v>
      </c>
      <c r="E35" s="153">
        <v>110</v>
      </c>
      <c r="F35" s="153">
        <v>110</v>
      </c>
      <c r="G35" s="153">
        <v>110</v>
      </c>
      <c r="H35" s="153">
        <v>110</v>
      </c>
      <c r="I35" s="133" t="s">
        <v>232</v>
      </c>
      <c r="J35" s="356" t="s">
        <v>565</v>
      </c>
      <c r="K35" s="377" t="s">
        <v>766</v>
      </c>
      <c r="L35" s="712" t="s">
        <v>766</v>
      </c>
      <c r="M35" s="377" t="s">
        <v>766</v>
      </c>
      <c r="N35" s="377" t="s">
        <v>766</v>
      </c>
      <c r="O35" s="643"/>
      <c r="P35" s="1193">
        <f t="shared" si="1"/>
        <v>0</v>
      </c>
    </row>
    <row r="36" spans="2:16" s="16" customFormat="1" x14ac:dyDescent="0.2">
      <c r="B36" s="22" t="s">
        <v>813</v>
      </c>
      <c r="C36" s="171" t="s">
        <v>170</v>
      </c>
      <c r="D36" s="172" t="s">
        <v>0</v>
      </c>
      <c r="E36" s="153">
        <v>275.3</v>
      </c>
      <c r="F36" s="153">
        <v>275.3</v>
      </c>
      <c r="G36" s="153">
        <v>300</v>
      </c>
      <c r="H36" s="153">
        <v>300</v>
      </c>
      <c r="I36" s="133" t="s">
        <v>232</v>
      </c>
      <c r="J36" s="355" t="s">
        <v>563</v>
      </c>
      <c r="K36" s="377" t="s">
        <v>760</v>
      </c>
      <c r="L36" s="712" t="s">
        <v>760</v>
      </c>
      <c r="M36" s="377" t="s">
        <v>761</v>
      </c>
      <c r="N36" s="377" t="s">
        <v>762</v>
      </c>
      <c r="O36" s="566"/>
      <c r="P36" s="1193">
        <f t="shared" si="1"/>
        <v>0</v>
      </c>
    </row>
    <row r="37" spans="2:16" s="16" customFormat="1" ht="27" customHeight="1" x14ac:dyDescent="0.2">
      <c r="B37" s="22" t="s">
        <v>812</v>
      </c>
      <c r="C37" s="172" t="s">
        <v>34</v>
      </c>
      <c r="D37" s="175" t="s">
        <v>0</v>
      </c>
      <c r="E37" s="153">
        <v>835</v>
      </c>
      <c r="F37" s="153">
        <v>835</v>
      </c>
      <c r="G37" s="153">
        <v>835</v>
      </c>
      <c r="H37" s="153">
        <v>835</v>
      </c>
      <c r="I37" s="389" t="s">
        <v>232</v>
      </c>
      <c r="J37" s="356" t="s">
        <v>566</v>
      </c>
      <c r="K37" s="378" t="s">
        <v>826</v>
      </c>
      <c r="L37" s="713" t="s">
        <v>826</v>
      </c>
      <c r="M37" s="378" t="s">
        <v>826</v>
      </c>
      <c r="N37" s="378" t="s">
        <v>826</v>
      </c>
      <c r="O37" s="644"/>
      <c r="P37" s="1193">
        <f t="shared" si="1"/>
        <v>0</v>
      </c>
    </row>
    <row r="38" spans="2:16" s="16" customFormat="1" ht="36" customHeight="1" x14ac:dyDescent="0.2">
      <c r="B38" s="22" t="s">
        <v>811</v>
      </c>
      <c r="C38" s="171" t="s">
        <v>35</v>
      </c>
      <c r="D38" s="171" t="s">
        <v>3</v>
      </c>
      <c r="E38" s="153">
        <v>1450</v>
      </c>
      <c r="F38" s="538">
        <v>890.3</v>
      </c>
      <c r="G38" s="153">
        <v>1550</v>
      </c>
      <c r="H38" s="153">
        <v>1550</v>
      </c>
      <c r="I38" s="133" t="s">
        <v>232</v>
      </c>
      <c r="J38" s="357" t="s">
        <v>590</v>
      </c>
      <c r="K38" s="378" t="s">
        <v>470</v>
      </c>
      <c r="L38" s="713" t="s">
        <v>470</v>
      </c>
      <c r="M38" s="378" t="s">
        <v>470</v>
      </c>
      <c r="N38" s="378" t="s">
        <v>470</v>
      </c>
      <c r="O38" s="643" t="s">
        <v>1047</v>
      </c>
      <c r="P38" s="1193">
        <f t="shared" si="1"/>
        <v>-559.70000000000005</v>
      </c>
    </row>
    <row r="39" spans="2:16" s="16" customFormat="1" ht="35.25" customHeight="1" x14ac:dyDescent="0.2">
      <c r="B39" s="22" t="s">
        <v>810</v>
      </c>
      <c r="C39" s="171" t="s">
        <v>328</v>
      </c>
      <c r="D39" s="168" t="s">
        <v>3</v>
      </c>
      <c r="E39" s="153">
        <v>7.7</v>
      </c>
      <c r="F39" s="153">
        <v>7.7</v>
      </c>
      <c r="G39" s="153">
        <v>8</v>
      </c>
      <c r="H39" s="153">
        <v>8</v>
      </c>
      <c r="I39" s="133" t="s">
        <v>232</v>
      </c>
      <c r="J39" s="356" t="s">
        <v>567</v>
      </c>
      <c r="K39" s="378" t="s">
        <v>501</v>
      </c>
      <c r="L39" s="713" t="s">
        <v>501</v>
      </c>
      <c r="M39" s="378" t="s">
        <v>501</v>
      </c>
      <c r="N39" s="378" t="s">
        <v>501</v>
      </c>
      <c r="O39" s="644"/>
      <c r="P39" s="1193">
        <f t="shared" si="1"/>
        <v>0</v>
      </c>
    </row>
    <row r="40" spans="2:16" s="16" customFormat="1" ht="61.5" customHeight="1" x14ac:dyDescent="0.2">
      <c r="B40" s="22" t="s">
        <v>809</v>
      </c>
      <c r="C40" s="171" t="s">
        <v>33</v>
      </c>
      <c r="D40" s="171" t="s">
        <v>3</v>
      </c>
      <c r="E40" s="153">
        <v>39</v>
      </c>
      <c r="F40" s="618">
        <v>37</v>
      </c>
      <c r="G40" s="153">
        <v>39</v>
      </c>
      <c r="H40" s="153">
        <v>39</v>
      </c>
      <c r="I40" s="133" t="s">
        <v>232</v>
      </c>
      <c r="J40" s="357" t="s">
        <v>830</v>
      </c>
      <c r="K40" s="378" t="s">
        <v>470</v>
      </c>
      <c r="L40" s="713" t="s">
        <v>470</v>
      </c>
      <c r="M40" s="378" t="s">
        <v>470</v>
      </c>
      <c r="N40" s="378" t="s">
        <v>470</v>
      </c>
      <c r="O40" s="643" t="s">
        <v>1047</v>
      </c>
      <c r="P40" s="1193">
        <f t="shared" si="1"/>
        <v>-2</v>
      </c>
    </row>
    <row r="41" spans="2:16" s="16" customFormat="1" ht="21.75" customHeight="1" x14ac:dyDescent="0.2">
      <c r="B41" s="865" t="s">
        <v>808</v>
      </c>
      <c r="C41" s="879" t="s">
        <v>282</v>
      </c>
      <c r="D41" s="145" t="s">
        <v>3</v>
      </c>
      <c r="E41" s="153">
        <v>6405.5</v>
      </c>
      <c r="F41" s="153">
        <v>6405.5</v>
      </c>
      <c r="G41" s="133">
        <v>6750</v>
      </c>
      <c r="H41" s="133">
        <v>7200</v>
      </c>
      <c r="I41" s="297" t="s">
        <v>232</v>
      </c>
      <c r="J41" s="942" t="s">
        <v>591</v>
      </c>
      <c r="K41" s="953" t="s">
        <v>739</v>
      </c>
      <c r="L41" s="1011" t="s">
        <v>739</v>
      </c>
      <c r="M41" s="953" t="s">
        <v>740</v>
      </c>
      <c r="N41" s="953" t="s">
        <v>741</v>
      </c>
      <c r="O41" s="1038"/>
      <c r="P41" s="1193">
        <f t="shared" si="1"/>
        <v>0</v>
      </c>
    </row>
    <row r="42" spans="2:16" s="16" customFormat="1" ht="20.25" customHeight="1" x14ac:dyDescent="0.2">
      <c r="B42" s="866"/>
      <c r="C42" s="880"/>
      <c r="D42" s="145" t="s">
        <v>3</v>
      </c>
      <c r="E42" s="133">
        <v>0</v>
      </c>
      <c r="F42" s="133">
        <v>0</v>
      </c>
      <c r="G42" s="133">
        <v>0</v>
      </c>
      <c r="H42" s="133">
        <v>0</v>
      </c>
      <c r="I42" s="388"/>
      <c r="J42" s="943"/>
      <c r="K42" s="954"/>
      <c r="L42" s="1012"/>
      <c r="M42" s="954"/>
      <c r="N42" s="954"/>
      <c r="O42" s="1039"/>
      <c r="P42" s="1193">
        <f t="shared" si="1"/>
        <v>0</v>
      </c>
    </row>
    <row r="43" spans="2:16" s="16" customFormat="1" ht="27.75" customHeight="1" x14ac:dyDescent="0.2">
      <c r="B43" s="22" t="s">
        <v>814</v>
      </c>
      <c r="C43" s="171" t="s">
        <v>283</v>
      </c>
      <c r="D43" s="145" t="s">
        <v>3</v>
      </c>
      <c r="E43" s="153">
        <v>16333.7</v>
      </c>
      <c r="F43" s="153">
        <v>16333.7</v>
      </c>
      <c r="G43" s="153">
        <v>16400</v>
      </c>
      <c r="H43" s="153">
        <v>16550</v>
      </c>
      <c r="I43" s="133" t="s">
        <v>232</v>
      </c>
      <c r="J43" s="351" t="s">
        <v>568</v>
      </c>
      <c r="K43" s="378" t="s">
        <v>767</v>
      </c>
      <c r="L43" s="713" t="s">
        <v>767</v>
      </c>
      <c r="M43" s="378" t="s">
        <v>768</v>
      </c>
      <c r="N43" s="378" t="s">
        <v>769</v>
      </c>
      <c r="O43" s="636"/>
      <c r="P43" s="1193">
        <f t="shared" si="1"/>
        <v>0</v>
      </c>
    </row>
    <row r="44" spans="2:16" ht="31.5" customHeight="1" x14ac:dyDescent="0.2">
      <c r="B44" s="22" t="s">
        <v>815</v>
      </c>
      <c r="C44" s="151" t="s">
        <v>15</v>
      </c>
      <c r="D44" s="168" t="s">
        <v>3</v>
      </c>
      <c r="E44" s="130">
        <v>1</v>
      </c>
      <c r="F44" s="130">
        <v>1</v>
      </c>
      <c r="G44" s="130">
        <v>1</v>
      </c>
      <c r="H44" s="130">
        <v>1</v>
      </c>
      <c r="I44" s="155" t="s">
        <v>231</v>
      </c>
      <c r="J44" s="358" t="s">
        <v>569</v>
      </c>
      <c r="K44" s="377" t="s">
        <v>771</v>
      </c>
      <c r="L44" s="712" t="s">
        <v>771</v>
      </c>
      <c r="M44" s="377" t="s">
        <v>770</v>
      </c>
      <c r="N44" s="377" t="s">
        <v>770</v>
      </c>
      <c r="O44" s="645"/>
      <c r="P44" s="1193">
        <f t="shared" si="1"/>
        <v>0</v>
      </c>
    </row>
    <row r="45" spans="2:16" s="4" customFormat="1" ht="62.25" customHeight="1" x14ac:dyDescent="0.2">
      <c r="B45" s="22" t="s">
        <v>816</v>
      </c>
      <c r="C45" s="168" t="s">
        <v>284</v>
      </c>
      <c r="D45" s="168" t="s">
        <v>3</v>
      </c>
      <c r="E45" s="133">
        <v>0</v>
      </c>
      <c r="F45" s="612">
        <v>94.3</v>
      </c>
      <c r="G45" s="133">
        <v>0</v>
      </c>
      <c r="H45" s="133">
        <v>0</v>
      </c>
      <c r="I45" s="155" t="s">
        <v>231</v>
      </c>
      <c r="J45" s="357"/>
      <c r="K45" s="378"/>
      <c r="L45" s="713" t="s">
        <v>470</v>
      </c>
      <c r="M45" s="379"/>
      <c r="N45" s="379"/>
      <c r="O45" s="643" t="s">
        <v>1087</v>
      </c>
      <c r="P45" s="1193">
        <f t="shared" si="1"/>
        <v>94.3</v>
      </c>
    </row>
    <row r="46" spans="2:16" s="62" customFormat="1" ht="47.25" customHeight="1" x14ac:dyDescent="0.2">
      <c r="B46" s="22" t="s">
        <v>817</v>
      </c>
      <c r="C46" s="173" t="s">
        <v>307</v>
      </c>
      <c r="D46" s="175" t="s">
        <v>1</v>
      </c>
      <c r="E46" s="156">
        <v>32</v>
      </c>
      <c r="F46" s="156">
        <v>32</v>
      </c>
      <c r="G46" s="156">
        <v>35</v>
      </c>
      <c r="H46" s="156">
        <v>37</v>
      </c>
      <c r="I46" s="155" t="s">
        <v>231</v>
      </c>
      <c r="J46" s="351" t="s">
        <v>592</v>
      </c>
      <c r="K46" s="378">
        <v>100</v>
      </c>
      <c r="L46" s="713">
        <v>100</v>
      </c>
      <c r="M46" s="378">
        <v>100</v>
      </c>
      <c r="N46" s="378">
        <v>100</v>
      </c>
      <c r="O46" s="636"/>
      <c r="P46" s="1193">
        <f t="shared" si="1"/>
        <v>0</v>
      </c>
    </row>
    <row r="47" spans="2:16" s="62" customFormat="1" ht="35.25" customHeight="1" x14ac:dyDescent="0.2">
      <c r="B47" s="23" t="s">
        <v>898</v>
      </c>
      <c r="C47" s="173" t="s">
        <v>1009</v>
      </c>
      <c r="D47" s="175" t="s">
        <v>1</v>
      </c>
      <c r="E47" s="156">
        <v>32</v>
      </c>
      <c r="F47" s="156">
        <v>32</v>
      </c>
      <c r="G47" s="156">
        <v>35</v>
      </c>
      <c r="H47" s="156">
        <v>37</v>
      </c>
      <c r="I47" s="155" t="s">
        <v>231</v>
      </c>
      <c r="J47" s="351" t="s">
        <v>738</v>
      </c>
      <c r="K47" s="377" t="s">
        <v>596</v>
      </c>
      <c r="L47" s="712" t="s">
        <v>596</v>
      </c>
      <c r="M47" s="377" t="s">
        <v>596</v>
      </c>
      <c r="N47" s="377" t="s">
        <v>596</v>
      </c>
      <c r="O47" s="636"/>
      <c r="P47" s="1193">
        <f t="shared" si="1"/>
        <v>0</v>
      </c>
    </row>
    <row r="48" spans="2:16" s="17" customFormat="1" ht="22.5" customHeight="1" x14ac:dyDescent="0.2">
      <c r="B48" s="865" t="s">
        <v>818</v>
      </c>
      <c r="C48" s="970" t="s">
        <v>57</v>
      </c>
      <c r="D48" s="144" t="s">
        <v>3</v>
      </c>
      <c r="E48" s="154">
        <v>121.8</v>
      </c>
      <c r="F48" s="154">
        <v>121.8</v>
      </c>
      <c r="G48" s="154">
        <v>121.8</v>
      </c>
      <c r="H48" s="154">
        <v>121.8</v>
      </c>
      <c r="I48" s="931" t="s">
        <v>229</v>
      </c>
      <c r="J48" s="944" t="s">
        <v>570</v>
      </c>
      <c r="K48" s="947" t="s">
        <v>461</v>
      </c>
      <c r="L48" s="950" t="s">
        <v>461</v>
      </c>
      <c r="M48" s="947" t="s">
        <v>461</v>
      </c>
      <c r="N48" s="947" t="s">
        <v>461</v>
      </c>
      <c r="O48" s="1040"/>
      <c r="P48" s="1193">
        <f t="shared" si="1"/>
        <v>0</v>
      </c>
    </row>
    <row r="49" spans="2:16" s="17" customFormat="1" ht="45.75" customHeight="1" x14ac:dyDescent="0.2">
      <c r="B49" s="866"/>
      <c r="C49" s="971"/>
      <c r="D49" s="144" t="s">
        <v>0</v>
      </c>
      <c r="E49" s="154">
        <v>66.099999999999994</v>
      </c>
      <c r="F49" s="154">
        <v>66.099999999999994</v>
      </c>
      <c r="G49" s="154">
        <v>66.099999999999994</v>
      </c>
      <c r="H49" s="154">
        <v>66.099999999999994</v>
      </c>
      <c r="I49" s="932"/>
      <c r="J49" s="945"/>
      <c r="K49" s="948"/>
      <c r="L49" s="951"/>
      <c r="M49" s="948"/>
      <c r="N49" s="948"/>
      <c r="O49" s="1041"/>
      <c r="P49" s="1193">
        <f t="shared" si="1"/>
        <v>0</v>
      </c>
    </row>
    <row r="50" spans="2:16" s="82" customFormat="1" ht="69" customHeight="1" x14ac:dyDescent="0.2">
      <c r="B50" s="402" t="s">
        <v>819</v>
      </c>
      <c r="C50" s="400" t="s">
        <v>13</v>
      </c>
      <c r="D50" s="400"/>
      <c r="E50" s="465">
        <f t="shared" ref="E50:H50" si="4">SUM(E51:E57)</f>
        <v>858.4</v>
      </c>
      <c r="F50" s="465">
        <f t="shared" si="4"/>
        <v>858.4</v>
      </c>
      <c r="G50" s="465">
        <f t="shared" si="4"/>
        <v>908.5</v>
      </c>
      <c r="H50" s="465">
        <f t="shared" si="4"/>
        <v>958.5</v>
      </c>
      <c r="I50" s="465"/>
      <c r="J50" s="466" t="s">
        <v>616</v>
      </c>
      <c r="K50" s="464" t="s">
        <v>614</v>
      </c>
      <c r="L50" s="714" t="s">
        <v>614</v>
      </c>
      <c r="M50" s="464" t="s">
        <v>615</v>
      </c>
      <c r="N50" s="464" t="s">
        <v>615</v>
      </c>
      <c r="O50" s="646"/>
      <c r="P50" s="1193">
        <f t="shared" si="1"/>
        <v>0</v>
      </c>
    </row>
    <row r="51" spans="2:16" s="4" customFormat="1" ht="66.75" customHeight="1" x14ac:dyDescent="0.2">
      <c r="B51" s="23" t="s">
        <v>22</v>
      </c>
      <c r="C51" s="145" t="s">
        <v>742</v>
      </c>
      <c r="D51" s="172" t="s">
        <v>0</v>
      </c>
      <c r="E51" s="133">
        <v>150</v>
      </c>
      <c r="F51" s="133">
        <v>150</v>
      </c>
      <c r="G51" s="133">
        <v>200</v>
      </c>
      <c r="H51" s="133">
        <v>250</v>
      </c>
      <c r="I51" s="155" t="s">
        <v>231</v>
      </c>
      <c r="J51" s="357" t="s">
        <v>831</v>
      </c>
      <c r="K51" s="378" t="s">
        <v>470</v>
      </c>
      <c r="L51" s="713" t="s">
        <v>470</v>
      </c>
      <c r="M51" s="378" t="s">
        <v>470</v>
      </c>
      <c r="N51" s="378" t="s">
        <v>470</v>
      </c>
      <c r="O51" s="567"/>
      <c r="P51" s="1193">
        <f t="shared" si="1"/>
        <v>0</v>
      </c>
    </row>
    <row r="52" spans="2:16" s="16" customFormat="1" ht="35.25" customHeight="1" x14ac:dyDescent="0.2">
      <c r="B52" s="22" t="s">
        <v>23</v>
      </c>
      <c r="C52" s="174" t="s">
        <v>39</v>
      </c>
      <c r="D52" s="346" t="s">
        <v>0</v>
      </c>
      <c r="E52" s="155">
        <v>70</v>
      </c>
      <c r="F52" s="155">
        <v>70</v>
      </c>
      <c r="G52" s="155">
        <v>70</v>
      </c>
      <c r="H52" s="155">
        <v>70</v>
      </c>
      <c r="I52" s="155" t="s">
        <v>231</v>
      </c>
      <c r="J52" s="357" t="s">
        <v>922</v>
      </c>
      <c r="K52" s="378" t="s">
        <v>470</v>
      </c>
      <c r="L52" s="713" t="s">
        <v>470</v>
      </c>
      <c r="M52" s="378" t="s">
        <v>470</v>
      </c>
      <c r="N52" s="378" t="s">
        <v>470</v>
      </c>
      <c r="O52" s="567"/>
      <c r="P52" s="1193">
        <f t="shared" si="1"/>
        <v>0</v>
      </c>
    </row>
    <row r="53" spans="2:16" s="16" customFormat="1" ht="35.25" customHeight="1" x14ac:dyDescent="0.2">
      <c r="B53" s="22" t="s">
        <v>24</v>
      </c>
      <c r="C53" s="174" t="s">
        <v>40</v>
      </c>
      <c r="D53" s="346" t="s">
        <v>0</v>
      </c>
      <c r="E53" s="155">
        <v>140</v>
      </c>
      <c r="F53" s="155">
        <v>140</v>
      </c>
      <c r="G53" s="155">
        <v>140</v>
      </c>
      <c r="H53" s="155">
        <v>140</v>
      </c>
      <c r="I53" s="155" t="s">
        <v>231</v>
      </c>
      <c r="J53" s="357" t="s">
        <v>922</v>
      </c>
      <c r="K53" s="378" t="s">
        <v>470</v>
      </c>
      <c r="L53" s="713" t="s">
        <v>470</v>
      </c>
      <c r="M53" s="378" t="s">
        <v>470</v>
      </c>
      <c r="N53" s="378" t="s">
        <v>470</v>
      </c>
      <c r="O53" s="567"/>
      <c r="P53" s="1193">
        <f t="shared" si="1"/>
        <v>0</v>
      </c>
    </row>
    <row r="54" spans="2:16" s="16" customFormat="1" ht="47.25" customHeight="1" x14ac:dyDescent="0.2">
      <c r="B54" s="22" t="s">
        <v>25</v>
      </c>
      <c r="C54" s="175" t="s">
        <v>41</v>
      </c>
      <c r="D54" s="175" t="s">
        <v>0</v>
      </c>
      <c r="E54" s="155">
        <v>40</v>
      </c>
      <c r="F54" s="155">
        <v>40</v>
      </c>
      <c r="G54" s="155">
        <v>40</v>
      </c>
      <c r="H54" s="155">
        <v>40</v>
      </c>
      <c r="I54" s="155" t="s">
        <v>231</v>
      </c>
      <c r="J54" s="357" t="s">
        <v>571</v>
      </c>
      <c r="K54" s="377" t="s">
        <v>594</v>
      </c>
      <c r="L54" s="712" t="s">
        <v>594</v>
      </c>
      <c r="M54" s="377" t="s">
        <v>594</v>
      </c>
      <c r="N54" s="377" t="s">
        <v>594</v>
      </c>
      <c r="O54" s="567"/>
      <c r="P54" s="1193">
        <f t="shared" si="1"/>
        <v>0</v>
      </c>
    </row>
    <row r="55" spans="2:16" s="16" customFormat="1" ht="35.25" customHeight="1" x14ac:dyDescent="0.2">
      <c r="B55" s="22" t="s">
        <v>26</v>
      </c>
      <c r="C55" s="175" t="s">
        <v>318</v>
      </c>
      <c r="D55" s="175" t="s">
        <v>0</v>
      </c>
      <c r="E55" s="156">
        <v>400</v>
      </c>
      <c r="F55" s="156">
        <v>400</v>
      </c>
      <c r="G55" s="156">
        <v>400</v>
      </c>
      <c r="H55" s="156">
        <v>400</v>
      </c>
      <c r="I55" s="155" t="s">
        <v>319</v>
      </c>
      <c r="J55" s="357" t="s">
        <v>595</v>
      </c>
      <c r="K55" s="377" t="s">
        <v>772</v>
      </c>
      <c r="L55" s="712" t="s">
        <v>772</v>
      </c>
      <c r="M55" s="377" t="s">
        <v>772</v>
      </c>
      <c r="N55" s="377" t="s">
        <v>772</v>
      </c>
      <c r="O55" s="567"/>
      <c r="P55" s="1193">
        <f t="shared" si="1"/>
        <v>0</v>
      </c>
    </row>
    <row r="56" spans="2:16" s="16" customFormat="1" ht="35.25" customHeight="1" x14ac:dyDescent="0.2">
      <c r="B56" s="22" t="s">
        <v>289</v>
      </c>
      <c r="C56" s="176" t="s">
        <v>287</v>
      </c>
      <c r="D56" s="175" t="s">
        <v>1</v>
      </c>
      <c r="E56" s="156">
        <v>17.5</v>
      </c>
      <c r="F56" s="156">
        <v>17.5</v>
      </c>
      <c r="G56" s="156">
        <v>17.5</v>
      </c>
      <c r="H56" s="156">
        <v>17.5</v>
      </c>
      <c r="I56" s="155" t="s">
        <v>320</v>
      </c>
      <c r="J56" s="351" t="s">
        <v>574</v>
      </c>
      <c r="K56" s="377" t="s">
        <v>800</v>
      </c>
      <c r="L56" s="712" t="s">
        <v>800</v>
      </c>
      <c r="M56" s="377" t="s">
        <v>800</v>
      </c>
      <c r="N56" s="377" t="s">
        <v>800</v>
      </c>
      <c r="O56" s="636"/>
      <c r="P56" s="1193">
        <f t="shared" si="1"/>
        <v>0</v>
      </c>
    </row>
    <row r="57" spans="2:16" s="16" customFormat="1" ht="47.25" customHeight="1" x14ac:dyDescent="0.2">
      <c r="B57" s="22" t="s">
        <v>820</v>
      </c>
      <c r="C57" s="176" t="s">
        <v>42</v>
      </c>
      <c r="D57" s="175" t="s">
        <v>0</v>
      </c>
      <c r="E57" s="155">
        <v>40.9</v>
      </c>
      <c r="F57" s="155">
        <v>40.9</v>
      </c>
      <c r="G57" s="155">
        <v>41</v>
      </c>
      <c r="H57" s="155">
        <v>41</v>
      </c>
      <c r="I57" s="155" t="s">
        <v>231</v>
      </c>
      <c r="J57" s="360" t="s">
        <v>573</v>
      </c>
      <c r="K57" s="377" t="s">
        <v>470</v>
      </c>
      <c r="L57" s="712" t="s">
        <v>470</v>
      </c>
      <c r="M57" s="377" t="s">
        <v>470</v>
      </c>
      <c r="N57" s="377" t="s">
        <v>470</v>
      </c>
      <c r="O57" s="562"/>
      <c r="P57" s="1193">
        <f t="shared" si="1"/>
        <v>0</v>
      </c>
    </row>
    <row r="58" spans="2:16" s="82" customFormat="1" ht="43.5" customHeight="1" x14ac:dyDescent="0.2">
      <c r="B58" s="402" t="s">
        <v>821</v>
      </c>
      <c r="C58" s="983" t="s">
        <v>285</v>
      </c>
      <c r="D58" s="984"/>
      <c r="E58" s="465">
        <f t="shared" ref="E58:H58" si="5">SUM(E59:E75)</f>
        <v>11222.9</v>
      </c>
      <c r="F58" s="465">
        <f t="shared" si="5"/>
        <v>11236.299999999997</v>
      </c>
      <c r="G58" s="465">
        <f t="shared" si="5"/>
        <v>11929.3</v>
      </c>
      <c r="H58" s="465">
        <f t="shared" si="5"/>
        <v>12582.3</v>
      </c>
      <c r="I58" s="465"/>
      <c r="J58" s="466" t="s">
        <v>618</v>
      </c>
      <c r="K58" s="464" t="s">
        <v>617</v>
      </c>
      <c r="L58" s="714" t="s">
        <v>617</v>
      </c>
      <c r="M58" s="464" t="s">
        <v>617</v>
      </c>
      <c r="N58" s="464" t="s">
        <v>617</v>
      </c>
      <c r="O58" s="646"/>
      <c r="P58" s="1193">
        <f t="shared" si="1"/>
        <v>13.399999999997817</v>
      </c>
    </row>
    <row r="59" spans="2:16" s="64" customFormat="1" ht="21.75" customHeight="1" x14ac:dyDescent="0.2">
      <c r="B59" s="865" t="s">
        <v>375</v>
      </c>
      <c r="C59" s="815" t="s">
        <v>290</v>
      </c>
      <c r="D59" s="177" t="s">
        <v>0</v>
      </c>
      <c r="E59" s="133">
        <f>4902.3-40.9-30.2</f>
        <v>4831.2000000000007</v>
      </c>
      <c r="F59" s="612">
        <f>4831.2+36.4</f>
        <v>4867.5999999999995</v>
      </c>
      <c r="G59" s="133">
        <v>5100</v>
      </c>
      <c r="H59" s="133">
        <v>5500</v>
      </c>
      <c r="I59" s="911" t="s">
        <v>229</v>
      </c>
      <c r="J59" s="916" t="s">
        <v>597</v>
      </c>
      <c r="K59" s="904" t="s">
        <v>470</v>
      </c>
      <c r="L59" s="939" t="s">
        <v>470</v>
      </c>
      <c r="M59" s="904" t="s">
        <v>470</v>
      </c>
      <c r="N59" s="904" t="s">
        <v>470</v>
      </c>
      <c r="O59" s="992" t="s">
        <v>1046</v>
      </c>
      <c r="P59" s="1193">
        <f t="shared" si="1"/>
        <v>36.399999999998727</v>
      </c>
    </row>
    <row r="60" spans="2:16" s="64" customFormat="1" ht="21.75" customHeight="1" x14ac:dyDescent="0.2">
      <c r="B60" s="867"/>
      <c r="C60" s="841"/>
      <c r="D60" s="177" t="s">
        <v>3</v>
      </c>
      <c r="E60" s="133">
        <v>254.8</v>
      </c>
      <c r="F60" s="153">
        <f>254.8-3.4</f>
        <v>251.4</v>
      </c>
      <c r="G60" s="133">
        <v>275</v>
      </c>
      <c r="H60" s="133">
        <v>275</v>
      </c>
      <c r="I60" s="930"/>
      <c r="J60" s="957"/>
      <c r="K60" s="904"/>
      <c r="L60" s="939"/>
      <c r="M60" s="904"/>
      <c r="N60" s="904"/>
      <c r="O60" s="1042"/>
      <c r="P60" s="1193">
        <f t="shared" si="1"/>
        <v>-3.4000000000000057</v>
      </c>
    </row>
    <row r="61" spans="2:16" s="64" customFormat="1" ht="24.75" customHeight="1" x14ac:dyDescent="0.2">
      <c r="B61" s="866"/>
      <c r="C61" s="816"/>
      <c r="D61" s="177" t="s">
        <v>4</v>
      </c>
      <c r="E61" s="133">
        <v>2045.1</v>
      </c>
      <c r="F61" s="133">
        <v>2045.1</v>
      </c>
      <c r="G61" s="133">
        <v>2050</v>
      </c>
      <c r="H61" s="133">
        <v>2050</v>
      </c>
      <c r="I61" s="912"/>
      <c r="J61" s="917"/>
      <c r="K61" s="904"/>
      <c r="L61" s="939"/>
      <c r="M61" s="904"/>
      <c r="N61" s="904"/>
      <c r="O61" s="993"/>
      <c r="P61" s="1193">
        <f t="shared" si="1"/>
        <v>0</v>
      </c>
    </row>
    <row r="62" spans="2:16" s="64" customFormat="1" ht="62.25" customHeight="1" x14ac:dyDescent="0.2">
      <c r="B62" s="22" t="s">
        <v>717</v>
      </c>
      <c r="C62" s="177" t="s">
        <v>891</v>
      </c>
      <c r="D62" s="145" t="s">
        <v>0</v>
      </c>
      <c r="E62" s="133">
        <v>1420</v>
      </c>
      <c r="F62" s="133">
        <v>1420</v>
      </c>
      <c r="G62" s="133">
        <v>1700</v>
      </c>
      <c r="H62" s="133">
        <v>2050</v>
      </c>
      <c r="I62" s="133" t="s">
        <v>229</v>
      </c>
      <c r="J62" s="360" t="s">
        <v>598</v>
      </c>
      <c r="K62" s="378" t="s">
        <v>773</v>
      </c>
      <c r="L62" s="713" t="s">
        <v>773</v>
      </c>
      <c r="M62" s="378" t="s">
        <v>774</v>
      </c>
      <c r="N62" s="378" t="s">
        <v>775</v>
      </c>
      <c r="O62" s="562"/>
      <c r="P62" s="1193">
        <f t="shared" si="1"/>
        <v>0</v>
      </c>
    </row>
    <row r="63" spans="2:16" s="17" customFormat="1" ht="29.25" customHeight="1" x14ac:dyDescent="0.2">
      <c r="B63" s="865" t="s">
        <v>889</v>
      </c>
      <c r="C63" s="815" t="s">
        <v>832</v>
      </c>
      <c r="D63" s="176" t="s">
        <v>1</v>
      </c>
      <c r="E63" s="153">
        <v>215</v>
      </c>
      <c r="F63" s="153">
        <v>215</v>
      </c>
      <c r="G63" s="153">
        <v>0</v>
      </c>
      <c r="H63" s="153">
        <v>0</v>
      </c>
      <c r="I63" s="909" t="s">
        <v>229</v>
      </c>
      <c r="J63" s="905" t="s">
        <v>575</v>
      </c>
      <c r="K63" s="907" t="s">
        <v>777</v>
      </c>
      <c r="L63" s="907" t="s">
        <v>777</v>
      </c>
      <c r="M63" s="907"/>
      <c r="N63" s="907"/>
      <c r="O63" s="992"/>
      <c r="P63" s="1193">
        <f t="shared" si="1"/>
        <v>0</v>
      </c>
    </row>
    <row r="64" spans="2:16" s="17" customFormat="1" ht="29.25" customHeight="1" x14ac:dyDescent="0.2">
      <c r="B64" s="866"/>
      <c r="C64" s="816"/>
      <c r="D64" s="176" t="s">
        <v>776</v>
      </c>
      <c r="E64" s="153">
        <v>55</v>
      </c>
      <c r="F64" s="153">
        <v>55</v>
      </c>
      <c r="G64" s="153">
        <v>0</v>
      </c>
      <c r="H64" s="153">
        <v>0</v>
      </c>
      <c r="I64" s="910"/>
      <c r="J64" s="906"/>
      <c r="K64" s="908"/>
      <c r="L64" s="908"/>
      <c r="M64" s="908"/>
      <c r="N64" s="908"/>
      <c r="O64" s="993"/>
      <c r="P64" s="1193">
        <f t="shared" si="1"/>
        <v>0</v>
      </c>
    </row>
    <row r="65" spans="2:16" s="64" customFormat="1" ht="30" customHeight="1" x14ac:dyDescent="0.2">
      <c r="B65" s="876" t="s">
        <v>376</v>
      </c>
      <c r="C65" s="862" t="s">
        <v>743</v>
      </c>
      <c r="D65" s="168" t="s">
        <v>3</v>
      </c>
      <c r="E65" s="153">
        <v>78.7</v>
      </c>
      <c r="F65" s="666">
        <v>79.5</v>
      </c>
      <c r="G65" s="153">
        <v>82.6</v>
      </c>
      <c r="H65" s="153">
        <v>82.6</v>
      </c>
      <c r="I65" s="911" t="s">
        <v>229</v>
      </c>
      <c r="J65" s="958" t="s">
        <v>744</v>
      </c>
      <c r="K65" s="904" t="s">
        <v>778</v>
      </c>
      <c r="L65" s="939" t="s">
        <v>778</v>
      </c>
      <c r="M65" s="904" t="s">
        <v>778</v>
      </c>
      <c r="N65" s="904" t="s">
        <v>778</v>
      </c>
      <c r="O65" s="997" t="s">
        <v>1047</v>
      </c>
      <c r="P65" s="1193">
        <f t="shared" si="1"/>
        <v>0.79999999999999716</v>
      </c>
    </row>
    <row r="66" spans="2:16" s="64" customFormat="1" ht="30.75" customHeight="1" x14ac:dyDescent="0.2">
      <c r="B66" s="876"/>
      <c r="C66" s="862"/>
      <c r="D66" s="168" t="s">
        <v>0</v>
      </c>
      <c r="E66" s="153">
        <v>123.3</v>
      </c>
      <c r="F66" s="153">
        <v>123.3</v>
      </c>
      <c r="G66" s="153">
        <v>123.3</v>
      </c>
      <c r="H66" s="153">
        <v>123.3</v>
      </c>
      <c r="I66" s="912"/>
      <c r="J66" s="958"/>
      <c r="K66" s="904"/>
      <c r="L66" s="939"/>
      <c r="M66" s="904"/>
      <c r="N66" s="904"/>
      <c r="O66" s="999"/>
      <c r="P66" s="1193">
        <f t="shared" si="1"/>
        <v>0</v>
      </c>
    </row>
    <row r="67" spans="2:16" s="16" customFormat="1" ht="35.25" customHeight="1" x14ac:dyDescent="0.2">
      <c r="B67" s="22" t="s">
        <v>377</v>
      </c>
      <c r="C67" s="145" t="s">
        <v>49</v>
      </c>
      <c r="D67" s="168" t="s">
        <v>0</v>
      </c>
      <c r="E67" s="133">
        <v>48</v>
      </c>
      <c r="F67" s="133">
        <v>48</v>
      </c>
      <c r="G67" s="133">
        <v>48</v>
      </c>
      <c r="H67" s="133">
        <v>48</v>
      </c>
      <c r="I67" s="150" t="s">
        <v>229</v>
      </c>
      <c r="J67" s="361" t="s">
        <v>576</v>
      </c>
      <c r="K67" s="378" t="s">
        <v>496</v>
      </c>
      <c r="L67" s="713" t="s">
        <v>496</v>
      </c>
      <c r="M67" s="378" t="s">
        <v>496</v>
      </c>
      <c r="N67" s="378" t="s">
        <v>496</v>
      </c>
      <c r="O67" s="647"/>
      <c r="P67" s="1193">
        <f t="shared" si="1"/>
        <v>0</v>
      </c>
    </row>
    <row r="68" spans="2:16" s="16" customFormat="1" ht="33.75" customHeight="1" x14ac:dyDescent="0.2">
      <c r="B68" s="865" t="s">
        <v>890</v>
      </c>
      <c r="C68" s="967" t="s">
        <v>1010</v>
      </c>
      <c r="D68" s="168" t="s">
        <v>0</v>
      </c>
      <c r="E68" s="157">
        <v>7.5</v>
      </c>
      <c r="F68" s="157">
        <v>7.5</v>
      </c>
      <c r="G68" s="157">
        <v>52.5</v>
      </c>
      <c r="H68" s="157">
        <v>37.5</v>
      </c>
      <c r="I68" s="909" t="s">
        <v>229</v>
      </c>
      <c r="J68" s="927" t="s">
        <v>576</v>
      </c>
      <c r="K68" s="955"/>
      <c r="L68" s="1013"/>
      <c r="M68" s="920"/>
      <c r="N68" s="949" t="s">
        <v>529</v>
      </c>
      <c r="O68" s="1043"/>
      <c r="P68" s="1193">
        <f t="shared" si="1"/>
        <v>0</v>
      </c>
    </row>
    <row r="69" spans="2:16" s="16" customFormat="1" ht="38.25" customHeight="1" x14ac:dyDescent="0.2">
      <c r="B69" s="866"/>
      <c r="C69" s="967"/>
      <c r="D69" s="168" t="s">
        <v>1</v>
      </c>
      <c r="E69" s="157">
        <v>42.5</v>
      </c>
      <c r="F69" s="157">
        <v>42.5</v>
      </c>
      <c r="G69" s="157">
        <v>297.5</v>
      </c>
      <c r="H69" s="157">
        <v>212.5</v>
      </c>
      <c r="I69" s="910"/>
      <c r="J69" s="928"/>
      <c r="K69" s="955"/>
      <c r="L69" s="1013"/>
      <c r="M69" s="920"/>
      <c r="N69" s="949"/>
      <c r="O69" s="1044"/>
      <c r="P69" s="1193">
        <f t="shared" si="1"/>
        <v>0</v>
      </c>
    </row>
    <row r="70" spans="2:16" s="16" customFormat="1" ht="40.5" customHeight="1" x14ac:dyDescent="0.2">
      <c r="B70" s="22" t="s">
        <v>378</v>
      </c>
      <c r="C70" s="145" t="s">
        <v>50</v>
      </c>
      <c r="D70" s="145" t="s">
        <v>3</v>
      </c>
      <c r="E70" s="158">
        <v>1900</v>
      </c>
      <c r="F70" s="158">
        <v>1900</v>
      </c>
      <c r="G70" s="158">
        <v>2000</v>
      </c>
      <c r="H70" s="158">
        <v>2000</v>
      </c>
      <c r="I70" s="150" t="s">
        <v>229</v>
      </c>
      <c r="J70" s="362" t="s">
        <v>577</v>
      </c>
      <c r="K70" s="378" t="s">
        <v>779</v>
      </c>
      <c r="L70" s="713" t="s">
        <v>779</v>
      </c>
      <c r="M70" s="378" t="s">
        <v>780</v>
      </c>
      <c r="N70" s="378" t="s">
        <v>780</v>
      </c>
      <c r="O70" s="648"/>
      <c r="P70" s="1193">
        <f t="shared" si="1"/>
        <v>0</v>
      </c>
    </row>
    <row r="71" spans="2:16" s="16" customFormat="1" ht="36.75" customHeight="1" x14ac:dyDescent="0.2">
      <c r="B71" s="22" t="s">
        <v>379</v>
      </c>
      <c r="C71" s="145" t="s">
        <v>51</v>
      </c>
      <c r="D71" s="168" t="s">
        <v>3</v>
      </c>
      <c r="E71" s="153">
        <v>88.4</v>
      </c>
      <c r="F71" s="666">
        <v>68</v>
      </c>
      <c r="G71" s="153">
        <v>85</v>
      </c>
      <c r="H71" s="153">
        <v>85</v>
      </c>
      <c r="I71" s="133" t="s">
        <v>230</v>
      </c>
      <c r="J71" s="357" t="s">
        <v>600</v>
      </c>
      <c r="K71" s="377" t="s">
        <v>781</v>
      </c>
      <c r="L71" s="712" t="s">
        <v>501</v>
      </c>
      <c r="M71" s="377" t="s">
        <v>781</v>
      </c>
      <c r="N71" s="377" t="s">
        <v>781</v>
      </c>
      <c r="O71" s="643" t="s">
        <v>1047</v>
      </c>
      <c r="P71" s="1193">
        <f t="shared" si="1"/>
        <v>-20.400000000000006</v>
      </c>
    </row>
    <row r="72" spans="2:16" s="16" customFormat="1" ht="30.75" customHeight="1" x14ac:dyDescent="0.2">
      <c r="B72" s="22" t="s">
        <v>382</v>
      </c>
      <c r="C72" s="145" t="s">
        <v>265</v>
      </c>
      <c r="D72" s="168" t="s">
        <v>3</v>
      </c>
      <c r="E72" s="153">
        <v>24.4</v>
      </c>
      <c r="F72" s="153">
        <v>24.4</v>
      </c>
      <c r="G72" s="153">
        <v>24.4</v>
      </c>
      <c r="H72" s="153">
        <v>24.4</v>
      </c>
      <c r="I72" s="133" t="s">
        <v>230</v>
      </c>
      <c r="J72" s="357" t="s">
        <v>578</v>
      </c>
      <c r="K72" s="377" t="s">
        <v>470</v>
      </c>
      <c r="L72" s="712" t="s">
        <v>470</v>
      </c>
      <c r="M72" s="377" t="s">
        <v>470</v>
      </c>
      <c r="N72" s="377" t="s">
        <v>470</v>
      </c>
      <c r="O72" s="567"/>
      <c r="P72" s="1193">
        <f t="shared" si="1"/>
        <v>0</v>
      </c>
    </row>
    <row r="73" spans="2:16" s="55" customFormat="1" ht="35.25" customHeight="1" x14ac:dyDescent="0.2">
      <c r="B73" s="22" t="s">
        <v>380</v>
      </c>
      <c r="C73" s="173" t="s">
        <v>286</v>
      </c>
      <c r="D73" s="175" t="s">
        <v>1</v>
      </c>
      <c r="E73" s="156">
        <v>30</v>
      </c>
      <c r="F73" s="156">
        <v>30</v>
      </c>
      <c r="G73" s="156">
        <v>32</v>
      </c>
      <c r="H73" s="156">
        <v>35</v>
      </c>
      <c r="I73" s="133" t="s">
        <v>230</v>
      </c>
      <c r="J73" s="351" t="s">
        <v>579</v>
      </c>
      <c r="K73" s="377" t="s">
        <v>464</v>
      </c>
      <c r="L73" s="712" t="s">
        <v>464</v>
      </c>
      <c r="M73" s="377" t="s">
        <v>464</v>
      </c>
      <c r="N73" s="377" t="s">
        <v>464</v>
      </c>
      <c r="O73" s="636"/>
      <c r="P73" s="1193">
        <f t="shared" si="1"/>
        <v>0</v>
      </c>
    </row>
    <row r="74" spans="2:16" s="64" customFormat="1" ht="20.25" customHeight="1" x14ac:dyDescent="0.2">
      <c r="B74" s="865" t="s">
        <v>381</v>
      </c>
      <c r="C74" s="968" t="s">
        <v>601</v>
      </c>
      <c r="D74" s="175" t="s">
        <v>3</v>
      </c>
      <c r="E74" s="156">
        <v>56</v>
      </c>
      <c r="F74" s="156">
        <v>56</v>
      </c>
      <c r="G74" s="156">
        <v>56</v>
      </c>
      <c r="H74" s="156">
        <v>56</v>
      </c>
      <c r="I74" s="959" t="s">
        <v>892</v>
      </c>
      <c r="J74" s="916" t="s">
        <v>602</v>
      </c>
      <c r="K74" s="914" t="s">
        <v>470</v>
      </c>
      <c r="L74" s="907" t="s">
        <v>470</v>
      </c>
      <c r="M74" s="914" t="s">
        <v>470</v>
      </c>
      <c r="N74" s="914" t="s">
        <v>470</v>
      </c>
      <c r="O74" s="992"/>
      <c r="P74" s="1193">
        <f t="shared" ref="P74:P118" si="6">+F74-E74</f>
        <v>0</v>
      </c>
    </row>
    <row r="75" spans="2:16" s="64" customFormat="1" ht="19.5" customHeight="1" x14ac:dyDescent="0.2">
      <c r="B75" s="866"/>
      <c r="C75" s="969"/>
      <c r="D75" s="175" t="s">
        <v>0</v>
      </c>
      <c r="E75" s="156">
        <v>3</v>
      </c>
      <c r="F75" s="156">
        <v>3</v>
      </c>
      <c r="G75" s="156">
        <v>3</v>
      </c>
      <c r="H75" s="156">
        <v>3</v>
      </c>
      <c r="I75" s="960"/>
      <c r="J75" s="917"/>
      <c r="K75" s="915"/>
      <c r="L75" s="908"/>
      <c r="M75" s="915"/>
      <c r="N75" s="915"/>
      <c r="O75" s="993"/>
      <c r="P75" s="1193">
        <f t="shared" si="6"/>
        <v>0</v>
      </c>
    </row>
    <row r="76" spans="2:16" s="84" customFormat="1" ht="60" customHeight="1" x14ac:dyDescent="0.2">
      <c r="B76" s="402" t="s">
        <v>383</v>
      </c>
      <c r="C76" s="461" t="s">
        <v>233</v>
      </c>
      <c r="D76" s="462"/>
      <c r="E76" s="399">
        <f t="shared" ref="E76:H76" si="7">SUM(E77:E83)</f>
        <v>1650.8000000000002</v>
      </c>
      <c r="F76" s="399">
        <f t="shared" si="7"/>
        <v>1650.8000000000002</v>
      </c>
      <c r="G76" s="399">
        <f t="shared" si="7"/>
        <v>1672.2</v>
      </c>
      <c r="H76" s="399">
        <f t="shared" si="7"/>
        <v>1675.2</v>
      </c>
      <c r="I76" s="463"/>
      <c r="J76" s="459" t="s">
        <v>708</v>
      </c>
      <c r="K76" s="464" t="s">
        <v>617</v>
      </c>
      <c r="L76" s="714" t="s">
        <v>617</v>
      </c>
      <c r="M76" s="464" t="s">
        <v>617</v>
      </c>
      <c r="N76" s="464" t="s">
        <v>617</v>
      </c>
      <c r="O76" s="642"/>
      <c r="P76" s="1193">
        <f t="shared" si="6"/>
        <v>0</v>
      </c>
    </row>
    <row r="77" spans="2:16" s="17" customFormat="1" ht="21.75" customHeight="1" x14ac:dyDescent="0.2">
      <c r="B77" s="865" t="s">
        <v>839</v>
      </c>
      <c r="C77" s="815" t="s">
        <v>53</v>
      </c>
      <c r="D77" s="176" t="s">
        <v>3</v>
      </c>
      <c r="E77" s="153">
        <v>26.4</v>
      </c>
      <c r="F77" s="153">
        <v>26.4</v>
      </c>
      <c r="G77" s="153">
        <v>29</v>
      </c>
      <c r="H77" s="153">
        <v>29</v>
      </c>
      <c r="I77" s="911" t="s">
        <v>225</v>
      </c>
      <c r="J77" s="916" t="s">
        <v>580</v>
      </c>
      <c r="K77" s="918" t="s">
        <v>511</v>
      </c>
      <c r="L77" s="1014" t="s">
        <v>511</v>
      </c>
      <c r="M77" s="918" t="s">
        <v>511</v>
      </c>
      <c r="N77" s="918" t="s">
        <v>511</v>
      </c>
      <c r="O77" s="992"/>
      <c r="P77" s="1193">
        <f t="shared" si="6"/>
        <v>0</v>
      </c>
    </row>
    <row r="78" spans="2:16" s="17" customFormat="1" ht="19.5" customHeight="1" x14ac:dyDescent="0.2">
      <c r="B78" s="866"/>
      <c r="C78" s="816"/>
      <c r="D78" s="176" t="s">
        <v>1</v>
      </c>
      <c r="E78" s="153">
        <v>100</v>
      </c>
      <c r="F78" s="153">
        <v>100</v>
      </c>
      <c r="G78" s="153">
        <v>100</v>
      </c>
      <c r="H78" s="153">
        <v>100</v>
      </c>
      <c r="I78" s="912"/>
      <c r="J78" s="917"/>
      <c r="K78" s="918"/>
      <c r="L78" s="1014"/>
      <c r="M78" s="918"/>
      <c r="N78" s="918"/>
      <c r="O78" s="993"/>
      <c r="P78" s="1193">
        <f t="shared" si="6"/>
        <v>0</v>
      </c>
    </row>
    <row r="79" spans="2:16" s="17" customFormat="1" ht="19.5" customHeight="1" x14ac:dyDescent="0.2">
      <c r="B79" s="865" t="s">
        <v>840</v>
      </c>
      <c r="C79" s="1000" t="s">
        <v>56</v>
      </c>
      <c r="D79" s="176" t="s">
        <v>268</v>
      </c>
      <c r="E79" s="153">
        <v>105</v>
      </c>
      <c r="F79" s="153">
        <v>105</v>
      </c>
      <c r="G79" s="153">
        <v>105</v>
      </c>
      <c r="H79" s="153">
        <v>105</v>
      </c>
      <c r="I79" s="297"/>
      <c r="J79" s="916" t="s">
        <v>581</v>
      </c>
      <c r="K79" s="918" t="s">
        <v>782</v>
      </c>
      <c r="L79" s="1014" t="s">
        <v>782</v>
      </c>
      <c r="M79" s="918" t="s">
        <v>782</v>
      </c>
      <c r="N79" s="918" t="s">
        <v>782</v>
      </c>
      <c r="O79" s="992"/>
      <c r="P79" s="1193">
        <f t="shared" si="6"/>
        <v>0</v>
      </c>
    </row>
    <row r="80" spans="2:16" s="17" customFormat="1" ht="22.5" customHeight="1" x14ac:dyDescent="0.2">
      <c r="B80" s="866"/>
      <c r="C80" s="1001"/>
      <c r="D80" s="176" t="s">
        <v>0</v>
      </c>
      <c r="E80" s="153">
        <v>30.2</v>
      </c>
      <c r="F80" s="153">
        <v>30.2</v>
      </c>
      <c r="G80" s="153">
        <v>30.2</v>
      </c>
      <c r="H80" s="153">
        <v>30.2</v>
      </c>
      <c r="I80" s="388" t="s">
        <v>226</v>
      </c>
      <c r="J80" s="929"/>
      <c r="K80" s="919"/>
      <c r="L80" s="1015"/>
      <c r="M80" s="919"/>
      <c r="N80" s="919"/>
      <c r="O80" s="1048"/>
      <c r="P80" s="1193">
        <f t="shared" si="6"/>
        <v>0</v>
      </c>
    </row>
    <row r="81" spans="2:16" s="17" customFormat="1" ht="20.25" customHeight="1" x14ac:dyDescent="0.2">
      <c r="B81" s="865" t="s">
        <v>841</v>
      </c>
      <c r="C81" s="815" t="s">
        <v>745</v>
      </c>
      <c r="D81" s="176" t="s">
        <v>0</v>
      </c>
      <c r="E81" s="153">
        <v>348.3</v>
      </c>
      <c r="F81" s="153">
        <v>348.3</v>
      </c>
      <c r="G81" s="153">
        <v>366</v>
      </c>
      <c r="H81" s="153">
        <v>366</v>
      </c>
      <c r="I81" s="911" t="s">
        <v>893</v>
      </c>
      <c r="J81" s="905" t="s">
        <v>582</v>
      </c>
      <c r="K81" s="918" t="s">
        <v>603</v>
      </c>
      <c r="L81" s="1014" t="s">
        <v>603</v>
      </c>
      <c r="M81" s="918" t="s">
        <v>603</v>
      </c>
      <c r="N81" s="918" t="s">
        <v>603</v>
      </c>
      <c r="O81" s="992"/>
      <c r="P81" s="1193">
        <f t="shared" si="6"/>
        <v>0</v>
      </c>
    </row>
    <row r="82" spans="2:16" s="62" customFormat="1" ht="20.25" customHeight="1" x14ac:dyDescent="0.2">
      <c r="B82" s="866"/>
      <c r="C82" s="1002"/>
      <c r="D82" s="176" t="s">
        <v>3</v>
      </c>
      <c r="E82" s="153">
        <v>189.4</v>
      </c>
      <c r="F82" s="153">
        <v>189.4</v>
      </c>
      <c r="G82" s="153">
        <v>190</v>
      </c>
      <c r="H82" s="153">
        <v>195</v>
      </c>
      <c r="I82" s="912"/>
      <c r="J82" s="906"/>
      <c r="K82" s="918"/>
      <c r="L82" s="1014"/>
      <c r="M82" s="918"/>
      <c r="N82" s="918"/>
      <c r="O82" s="993"/>
      <c r="P82" s="1193">
        <f t="shared" si="6"/>
        <v>0</v>
      </c>
    </row>
    <row r="83" spans="2:16" s="17" customFormat="1" ht="78" customHeight="1" x14ac:dyDescent="0.2">
      <c r="B83" s="101" t="s">
        <v>842</v>
      </c>
      <c r="C83" s="175" t="s">
        <v>59</v>
      </c>
      <c r="D83" s="175" t="s">
        <v>3</v>
      </c>
      <c r="E83" s="150">
        <v>851.5</v>
      </c>
      <c r="F83" s="150">
        <v>851.5</v>
      </c>
      <c r="G83" s="150">
        <v>852</v>
      </c>
      <c r="H83" s="150">
        <v>850</v>
      </c>
      <c r="I83" s="150" t="s">
        <v>228</v>
      </c>
      <c r="J83" s="357" t="s">
        <v>583</v>
      </c>
      <c r="K83" s="377" t="s">
        <v>783</v>
      </c>
      <c r="L83" s="712" t="s">
        <v>783</v>
      </c>
      <c r="M83" s="377" t="s">
        <v>783</v>
      </c>
      <c r="N83" s="377" t="s">
        <v>783</v>
      </c>
      <c r="O83" s="567"/>
      <c r="P83" s="1193">
        <f t="shared" si="6"/>
        <v>0</v>
      </c>
    </row>
    <row r="84" spans="2:16" s="84" customFormat="1" ht="59.25" customHeight="1" x14ac:dyDescent="0.2">
      <c r="B84" s="402" t="s">
        <v>843</v>
      </c>
      <c r="C84" s="461" t="s">
        <v>322</v>
      </c>
      <c r="D84" s="462"/>
      <c r="E84" s="399">
        <f>SUM(E85:E102)</f>
        <v>2172.6999999999998</v>
      </c>
      <c r="F84" s="399">
        <f>SUM(F85:F102)</f>
        <v>2225.5</v>
      </c>
      <c r="G84" s="399">
        <f>SUM(G85:G102)</f>
        <v>2632.1</v>
      </c>
      <c r="H84" s="399">
        <f>SUM(H85:H102)</f>
        <v>2489.1</v>
      </c>
      <c r="I84" s="463"/>
      <c r="J84" s="459" t="s">
        <v>667</v>
      </c>
      <c r="K84" s="460" t="s">
        <v>694</v>
      </c>
      <c r="L84" s="711" t="s">
        <v>694</v>
      </c>
      <c r="M84" s="460" t="s">
        <v>695</v>
      </c>
      <c r="N84" s="460" t="s">
        <v>695</v>
      </c>
      <c r="O84" s="642"/>
      <c r="P84" s="1193">
        <f t="shared" si="6"/>
        <v>52.800000000000182</v>
      </c>
    </row>
    <row r="85" spans="2:16" s="17" customFormat="1" ht="39.75" customHeight="1" x14ac:dyDescent="0.2">
      <c r="B85" s="22" t="s">
        <v>844</v>
      </c>
      <c r="C85" s="169" t="s">
        <v>321</v>
      </c>
      <c r="D85" s="176" t="s">
        <v>0</v>
      </c>
      <c r="E85" s="153">
        <v>56</v>
      </c>
      <c r="F85" s="618">
        <f>56-7</f>
        <v>49</v>
      </c>
      <c r="G85" s="153">
        <v>56</v>
      </c>
      <c r="H85" s="153">
        <v>56</v>
      </c>
      <c r="I85" s="388" t="s">
        <v>229</v>
      </c>
      <c r="J85" s="353" t="s">
        <v>604</v>
      </c>
      <c r="K85" s="378" t="s">
        <v>605</v>
      </c>
      <c r="L85" s="713" t="s">
        <v>605</v>
      </c>
      <c r="M85" s="378" t="s">
        <v>605</v>
      </c>
      <c r="N85" s="378" t="s">
        <v>605</v>
      </c>
      <c r="O85" s="639" t="s">
        <v>1035</v>
      </c>
      <c r="P85" s="1193">
        <f t="shared" si="6"/>
        <v>-7</v>
      </c>
    </row>
    <row r="86" spans="2:16" s="1" customFormat="1" ht="33" customHeight="1" x14ac:dyDescent="0.2">
      <c r="B86" s="102" t="s">
        <v>845</v>
      </c>
      <c r="C86" s="168" t="s">
        <v>452</v>
      </c>
      <c r="D86" s="347" t="s">
        <v>0</v>
      </c>
      <c r="E86" s="159">
        <v>12</v>
      </c>
      <c r="F86" s="159">
        <v>12</v>
      </c>
      <c r="G86" s="159">
        <v>12</v>
      </c>
      <c r="H86" s="159">
        <v>12</v>
      </c>
      <c r="I86" s="390" t="s">
        <v>244</v>
      </c>
      <c r="J86" s="363" t="s">
        <v>584</v>
      </c>
      <c r="K86" s="377" t="s">
        <v>496</v>
      </c>
      <c r="L86" s="712" t="s">
        <v>496</v>
      </c>
      <c r="M86" s="377" t="s">
        <v>496</v>
      </c>
      <c r="N86" s="377" t="s">
        <v>496</v>
      </c>
      <c r="O86" s="649"/>
      <c r="P86" s="1193">
        <f t="shared" si="6"/>
        <v>0</v>
      </c>
    </row>
    <row r="87" spans="2:16" s="1" customFormat="1" ht="29.25" customHeight="1" x14ac:dyDescent="0.2">
      <c r="B87" s="102" t="s">
        <v>846</v>
      </c>
      <c r="C87" s="168" t="s">
        <v>445</v>
      </c>
      <c r="D87" s="144" t="s">
        <v>0</v>
      </c>
      <c r="E87" s="159">
        <v>17</v>
      </c>
      <c r="F87" s="159">
        <v>17</v>
      </c>
      <c r="G87" s="159">
        <v>17</v>
      </c>
      <c r="H87" s="159">
        <v>17</v>
      </c>
      <c r="I87" s="390" t="s">
        <v>324</v>
      </c>
      <c r="J87" s="359" t="s">
        <v>606</v>
      </c>
      <c r="K87" s="377" t="s">
        <v>665</v>
      </c>
      <c r="L87" s="712" t="s">
        <v>665</v>
      </c>
      <c r="M87" s="377" t="s">
        <v>665</v>
      </c>
      <c r="N87" s="377" t="s">
        <v>665</v>
      </c>
      <c r="O87" s="564"/>
      <c r="P87" s="1193">
        <f t="shared" si="6"/>
        <v>0</v>
      </c>
    </row>
    <row r="88" spans="2:16" s="1" customFormat="1" ht="19.5" customHeight="1" x14ac:dyDescent="0.2">
      <c r="B88" s="964" t="s">
        <v>847</v>
      </c>
      <c r="C88" s="963" t="s">
        <v>78</v>
      </c>
      <c r="D88" s="348" t="s">
        <v>0</v>
      </c>
      <c r="E88" s="131">
        <v>90</v>
      </c>
      <c r="F88" s="131">
        <v>90</v>
      </c>
      <c r="G88" s="131">
        <v>95</v>
      </c>
      <c r="H88" s="131">
        <v>100</v>
      </c>
      <c r="I88" s="390" t="s">
        <v>246</v>
      </c>
      <c r="J88" s="1003" t="s">
        <v>585</v>
      </c>
      <c r="K88" s="921" t="s">
        <v>622</v>
      </c>
      <c r="L88" s="1016" t="s">
        <v>622</v>
      </c>
      <c r="M88" s="921" t="s">
        <v>622</v>
      </c>
      <c r="N88" s="921" t="s">
        <v>622</v>
      </c>
      <c r="O88" s="1049" t="s">
        <v>1037</v>
      </c>
      <c r="P88" s="1193">
        <f t="shared" si="6"/>
        <v>0</v>
      </c>
    </row>
    <row r="89" spans="2:16" s="1" customFormat="1" ht="22.5" customHeight="1" x14ac:dyDescent="0.2">
      <c r="B89" s="964"/>
      <c r="C89" s="963"/>
      <c r="D89" s="348" t="s">
        <v>3</v>
      </c>
      <c r="E89" s="159">
        <v>1578</v>
      </c>
      <c r="F89" s="543">
        <f>1578+27</f>
        <v>1605</v>
      </c>
      <c r="G89" s="159">
        <v>1580</v>
      </c>
      <c r="H89" s="159">
        <v>1590</v>
      </c>
      <c r="I89" s="965" t="s">
        <v>248</v>
      </c>
      <c r="J89" s="1003"/>
      <c r="K89" s="921"/>
      <c r="L89" s="1016"/>
      <c r="M89" s="921"/>
      <c r="N89" s="921"/>
      <c r="O89" s="1049"/>
      <c r="P89" s="1193">
        <f t="shared" si="6"/>
        <v>27</v>
      </c>
    </row>
    <row r="90" spans="2:16" s="1" customFormat="1" ht="29.25" customHeight="1" x14ac:dyDescent="0.2">
      <c r="B90" s="964"/>
      <c r="C90" s="963"/>
      <c r="D90" s="348" t="s">
        <v>4</v>
      </c>
      <c r="E90" s="159">
        <v>1</v>
      </c>
      <c r="F90" s="660">
        <v>1.6</v>
      </c>
      <c r="G90" s="159">
        <v>1.6</v>
      </c>
      <c r="H90" s="159">
        <v>1.6</v>
      </c>
      <c r="I90" s="966"/>
      <c r="J90" s="1003"/>
      <c r="K90" s="921"/>
      <c r="L90" s="1016"/>
      <c r="M90" s="921"/>
      <c r="N90" s="921"/>
      <c r="O90" s="1049"/>
      <c r="P90" s="1193">
        <f t="shared" si="6"/>
        <v>0.60000000000000009</v>
      </c>
    </row>
    <row r="91" spans="2:16" s="1" customFormat="1" ht="35.25" customHeight="1" x14ac:dyDescent="0.2">
      <c r="B91" s="773" t="s">
        <v>848</v>
      </c>
      <c r="C91" s="961" t="s">
        <v>323</v>
      </c>
      <c r="D91" s="347" t="s">
        <v>3</v>
      </c>
      <c r="E91" s="128">
        <v>53.2</v>
      </c>
      <c r="F91" s="128">
        <v>53.2</v>
      </c>
      <c r="G91" s="128">
        <v>55</v>
      </c>
      <c r="H91" s="128">
        <v>57</v>
      </c>
      <c r="I91" s="911" t="s">
        <v>245</v>
      </c>
      <c r="J91" s="922" t="s">
        <v>586</v>
      </c>
      <c r="K91" s="921" t="s">
        <v>470</v>
      </c>
      <c r="L91" s="1016" t="s">
        <v>470</v>
      </c>
      <c r="M91" s="921" t="s">
        <v>470</v>
      </c>
      <c r="N91" s="921" t="s">
        <v>470</v>
      </c>
      <c r="O91" s="1040" t="s">
        <v>1079</v>
      </c>
      <c r="P91" s="1193">
        <f t="shared" si="6"/>
        <v>0</v>
      </c>
    </row>
    <row r="92" spans="2:16" s="1" customFormat="1" ht="37.5" customHeight="1" x14ac:dyDescent="0.2">
      <c r="B92" s="774"/>
      <c r="C92" s="962"/>
      <c r="D92" s="144" t="s">
        <v>0</v>
      </c>
      <c r="E92" s="132">
        <v>70</v>
      </c>
      <c r="F92" s="627">
        <v>99.6</v>
      </c>
      <c r="G92" s="132">
        <v>100</v>
      </c>
      <c r="H92" s="132">
        <v>100</v>
      </c>
      <c r="I92" s="912"/>
      <c r="J92" s="923"/>
      <c r="K92" s="921"/>
      <c r="L92" s="1016"/>
      <c r="M92" s="921"/>
      <c r="N92" s="921"/>
      <c r="O92" s="1041"/>
      <c r="P92" s="1193">
        <f t="shared" si="6"/>
        <v>29.599999999999994</v>
      </c>
    </row>
    <row r="93" spans="2:16" s="1" customFormat="1" ht="30.75" customHeight="1" x14ac:dyDescent="0.2">
      <c r="B93" s="773" t="s">
        <v>849</v>
      </c>
      <c r="C93" s="961" t="s">
        <v>79</v>
      </c>
      <c r="D93" s="347" t="s">
        <v>3</v>
      </c>
      <c r="E93" s="132">
        <v>71</v>
      </c>
      <c r="F93" s="544">
        <f>71+2.6</f>
        <v>73.599999999999994</v>
      </c>
      <c r="G93" s="132">
        <v>71</v>
      </c>
      <c r="H93" s="132">
        <v>71</v>
      </c>
      <c r="I93" s="911" t="s">
        <v>247</v>
      </c>
      <c r="J93" s="365" t="s">
        <v>621</v>
      </c>
      <c r="K93" s="380" t="s">
        <v>470</v>
      </c>
      <c r="L93" s="701" t="s">
        <v>470</v>
      </c>
      <c r="M93" s="380" t="s">
        <v>470</v>
      </c>
      <c r="N93" s="380" t="s">
        <v>470</v>
      </c>
      <c r="O93" s="649" t="s">
        <v>1037</v>
      </c>
      <c r="P93" s="1193">
        <f t="shared" si="6"/>
        <v>2.5999999999999943</v>
      </c>
    </row>
    <row r="94" spans="2:16" s="1" customFormat="1" ht="30.75" customHeight="1" x14ac:dyDescent="0.2">
      <c r="B94" s="774"/>
      <c r="C94" s="962"/>
      <c r="D94" s="144" t="s">
        <v>0</v>
      </c>
      <c r="E94" s="132">
        <v>17.5</v>
      </c>
      <c r="F94" s="132">
        <v>17.5</v>
      </c>
      <c r="G94" s="132">
        <v>17.5</v>
      </c>
      <c r="H94" s="132">
        <v>17.5</v>
      </c>
      <c r="I94" s="912"/>
      <c r="J94" s="364" t="s">
        <v>833</v>
      </c>
      <c r="K94" s="380" t="s">
        <v>521</v>
      </c>
      <c r="L94" s="701" t="s">
        <v>521</v>
      </c>
      <c r="M94" s="380" t="s">
        <v>521</v>
      </c>
      <c r="N94" s="380" t="s">
        <v>521</v>
      </c>
      <c r="O94" s="563"/>
      <c r="P94" s="1193">
        <f t="shared" si="6"/>
        <v>0</v>
      </c>
    </row>
    <row r="95" spans="2:16" s="1" customFormat="1" ht="70.5" customHeight="1" x14ac:dyDescent="0.2">
      <c r="B95" s="726" t="s">
        <v>894</v>
      </c>
      <c r="C95" s="725" t="s">
        <v>1026</v>
      </c>
      <c r="D95" s="144" t="s">
        <v>3</v>
      </c>
      <c r="E95" s="128">
        <v>90</v>
      </c>
      <c r="F95" s="128">
        <v>90</v>
      </c>
      <c r="G95" s="628">
        <v>200</v>
      </c>
      <c r="H95" s="128">
        <v>0</v>
      </c>
      <c r="I95" s="804"/>
      <c r="J95" s="727" t="s">
        <v>923</v>
      </c>
      <c r="K95" s="701" t="s">
        <v>466</v>
      </c>
      <c r="L95" s="703" t="s">
        <v>858</v>
      </c>
      <c r="M95" s="702" t="s">
        <v>466</v>
      </c>
      <c r="N95" s="728"/>
      <c r="O95" s="729" t="s">
        <v>1081</v>
      </c>
      <c r="P95" s="1193">
        <f t="shared" si="6"/>
        <v>0</v>
      </c>
    </row>
    <row r="96" spans="2:16" s="1" customFormat="1" ht="63" customHeight="1" x14ac:dyDescent="0.2">
      <c r="B96" s="726" t="s">
        <v>895</v>
      </c>
      <c r="C96" s="725" t="s">
        <v>1027</v>
      </c>
      <c r="D96" s="144" t="s">
        <v>3</v>
      </c>
      <c r="E96" s="128">
        <v>87</v>
      </c>
      <c r="F96" s="128">
        <v>87</v>
      </c>
      <c r="G96" s="628">
        <v>120</v>
      </c>
      <c r="H96" s="128">
        <v>0</v>
      </c>
      <c r="I96" s="133" t="s">
        <v>221</v>
      </c>
      <c r="J96" s="727" t="s">
        <v>857</v>
      </c>
      <c r="K96" s="701" t="s">
        <v>559</v>
      </c>
      <c r="L96" s="701" t="s">
        <v>559</v>
      </c>
      <c r="M96" s="702" t="s">
        <v>495</v>
      </c>
      <c r="N96" s="728"/>
      <c r="O96" s="729" t="s">
        <v>1082</v>
      </c>
      <c r="P96" s="1193">
        <f t="shared" si="6"/>
        <v>0</v>
      </c>
    </row>
    <row r="97" spans="2:16" s="1" customFormat="1" ht="43.5" customHeight="1" x14ac:dyDescent="0.2">
      <c r="B97" s="100" t="s">
        <v>859</v>
      </c>
      <c r="C97" s="144" t="s">
        <v>718</v>
      </c>
      <c r="D97" s="144" t="s">
        <v>0</v>
      </c>
      <c r="E97" s="128">
        <v>30</v>
      </c>
      <c r="F97" s="128">
        <v>30</v>
      </c>
      <c r="G97" s="128">
        <v>40</v>
      </c>
      <c r="H97" s="128">
        <v>50</v>
      </c>
      <c r="I97" s="133" t="s">
        <v>221</v>
      </c>
      <c r="J97" s="359" t="s">
        <v>719</v>
      </c>
      <c r="K97" s="715" t="s">
        <v>858</v>
      </c>
      <c r="L97" s="715" t="s">
        <v>858</v>
      </c>
      <c r="M97" s="715" t="s">
        <v>646</v>
      </c>
      <c r="N97" s="715" t="s">
        <v>463</v>
      </c>
      <c r="O97" s="564"/>
      <c r="P97" s="1193">
        <f t="shared" si="6"/>
        <v>0</v>
      </c>
    </row>
    <row r="98" spans="2:16" s="1" customFormat="1" ht="39" customHeight="1" x14ac:dyDescent="0.2">
      <c r="B98" s="1026" t="s">
        <v>988</v>
      </c>
      <c r="C98" s="1017" t="s">
        <v>1011</v>
      </c>
      <c r="D98" s="629" t="s">
        <v>0</v>
      </c>
      <c r="E98" s="628">
        <v>0</v>
      </c>
      <c r="F98" s="628">
        <v>0</v>
      </c>
      <c r="G98" s="628">
        <v>3</v>
      </c>
      <c r="H98" s="628">
        <v>10</v>
      </c>
      <c r="I98" s="1019" t="s">
        <v>221</v>
      </c>
      <c r="J98" s="1022" t="s">
        <v>987</v>
      </c>
      <c r="K98" s="1024"/>
      <c r="L98" s="1024"/>
      <c r="M98" s="1024"/>
      <c r="N98" s="1021" t="s">
        <v>619</v>
      </c>
      <c r="O98" s="1022" t="s">
        <v>1083</v>
      </c>
      <c r="P98" s="1193">
        <f t="shared" si="6"/>
        <v>0</v>
      </c>
    </row>
    <row r="99" spans="2:16" s="1" customFormat="1" ht="38.25" customHeight="1" x14ac:dyDescent="0.2">
      <c r="B99" s="1027"/>
      <c r="C99" s="1018"/>
      <c r="D99" s="629" t="s">
        <v>1</v>
      </c>
      <c r="E99" s="628">
        <v>0</v>
      </c>
      <c r="F99" s="628">
        <v>0</v>
      </c>
      <c r="G99" s="628">
        <v>47</v>
      </c>
      <c r="H99" s="628">
        <v>190</v>
      </c>
      <c r="I99" s="1020"/>
      <c r="J99" s="1023"/>
      <c r="K99" s="1025"/>
      <c r="L99" s="1025"/>
      <c r="M99" s="1025"/>
      <c r="N99" s="1021"/>
      <c r="O99" s="1023"/>
      <c r="P99" s="1193">
        <f t="shared" si="6"/>
        <v>0</v>
      </c>
    </row>
    <row r="100" spans="2:16" s="1" customFormat="1" ht="31.5" customHeight="1" x14ac:dyDescent="0.2">
      <c r="B100" s="1026" t="s">
        <v>989</v>
      </c>
      <c r="C100" s="1017" t="s">
        <v>1012</v>
      </c>
      <c r="D100" s="629" t="s">
        <v>0</v>
      </c>
      <c r="E100" s="628">
        <v>0</v>
      </c>
      <c r="F100" s="628">
        <v>0</v>
      </c>
      <c r="G100" s="628">
        <v>6</v>
      </c>
      <c r="H100" s="628">
        <v>6</v>
      </c>
      <c r="I100" s="1019" t="s">
        <v>221</v>
      </c>
      <c r="J100" s="1022" t="s">
        <v>990</v>
      </c>
      <c r="K100" s="1024"/>
      <c r="L100" s="1024"/>
      <c r="M100" s="1024"/>
      <c r="N100" s="1030" t="s">
        <v>619</v>
      </c>
      <c r="O100" s="1022" t="s">
        <v>1084</v>
      </c>
      <c r="P100" s="1193">
        <f t="shared" si="6"/>
        <v>0</v>
      </c>
    </row>
    <row r="101" spans="2:16" s="1" customFormat="1" ht="29.25" customHeight="1" x14ac:dyDescent="0.2">
      <c r="B101" s="1028"/>
      <c r="C101" s="1029"/>
      <c r="D101" s="629" t="s">
        <v>1</v>
      </c>
      <c r="E101" s="628">
        <v>0</v>
      </c>
      <c r="F101" s="628">
        <v>0</v>
      </c>
      <c r="G101" s="628">
        <v>205</v>
      </c>
      <c r="H101" s="628">
        <v>205</v>
      </c>
      <c r="I101" s="1035"/>
      <c r="J101" s="1034"/>
      <c r="K101" s="1033"/>
      <c r="L101" s="1033"/>
      <c r="M101" s="1033"/>
      <c r="N101" s="1031"/>
      <c r="O101" s="1034"/>
      <c r="P101" s="1193">
        <f t="shared" si="6"/>
        <v>0</v>
      </c>
    </row>
    <row r="102" spans="2:16" s="1" customFormat="1" ht="33.75" customHeight="1" x14ac:dyDescent="0.2">
      <c r="B102" s="1027"/>
      <c r="C102" s="1018"/>
      <c r="D102" s="629" t="s">
        <v>155</v>
      </c>
      <c r="E102" s="628">
        <v>0</v>
      </c>
      <c r="F102" s="628">
        <v>0</v>
      </c>
      <c r="G102" s="628">
        <v>6</v>
      </c>
      <c r="H102" s="628">
        <v>6</v>
      </c>
      <c r="I102" s="1020"/>
      <c r="J102" s="1023"/>
      <c r="K102" s="1025"/>
      <c r="L102" s="1025"/>
      <c r="M102" s="1025"/>
      <c r="N102" s="1032"/>
      <c r="O102" s="1023"/>
      <c r="P102" s="1193">
        <f t="shared" si="6"/>
        <v>0</v>
      </c>
    </row>
    <row r="103" spans="2:16" s="82" customFormat="1" ht="66.75" customHeight="1" x14ac:dyDescent="0.2">
      <c r="B103" s="402" t="s">
        <v>850</v>
      </c>
      <c r="C103" s="400" t="s">
        <v>64</v>
      </c>
      <c r="D103" s="400"/>
      <c r="E103" s="399">
        <f t="shared" ref="E103:H103" si="8">SUM(E104:E118)</f>
        <v>1783.6</v>
      </c>
      <c r="F103" s="399">
        <f t="shared" si="8"/>
        <v>1783.6</v>
      </c>
      <c r="G103" s="399">
        <f t="shared" si="8"/>
        <v>1889</v>
      </c>
      <c r="H103" s="399">
        <f t="shared" si="8"/>
        <v>1873</v>
      </c>
      <c r="I103" s="458"/>
      <c r="J103" s="459" t="s">
        <v>924</v>
      </c>
      <c r="K103" s="460" t="s">
        <v>701</v>
      </c>
      <c r="L103" s="711" t="s">
        <v>701</v>
      </c>
      <c r="M103" s="460" t="s">
        <v>701</v>
      </c>
      <c r="N103" s="460" t="s">
        <v>701</v>
      </c>
      <c r="O103" s="650"/>
      <c r="P103" s="1193">
        <f t="shared" si="6"/>
        <v>0</v>
      </c>
    </row>
    <row r="104" spans="2:16" s="16" customFormat="1" ht="36" customHeight="1" x14ac:dyDescent="0.2">
      <c r="B104" s="98" t="s">
        <v>384</v>
      </c>
      <c r="C104" s="177" t="s">
        <v>157</v>
      </c>
      <c r="D104" s="177" t="s">
        <v>0</v>
      </c>
      <c r="E104" s="133">
        <v>71.8</v>
      </c>
      <c r="F104" s="133">
        <v>71.8</v>
      </c>
      <c r="G104" s="133">
        <v>80</v>
      </c>
      <c r="H104" s="133">
        <v>80</v>
      </c>
      <c r="I104" s="133" t="s">
        <v>221</v>
      </c>
      <c r="J104" s="360" t="s">
        <v>607</v>
      </c>
      <c r="K104" s="378" t="s">
        <v>511</v>
      </c>
      <c r="L104" s="713" t="s">
        <v>511</v>
      </c>
      <c r="M104" s="378" t="s">
        <v>511</v>
      </c>
      <c r="N104" s="378" t="s">
        <v>511</v>
      </c>
      <c r="O104" s="562"/>
      <c r="P104" s="1193">
        <f t="shared" si="6"/>
        <v>0</v>
      </c>
    </row>
    <row r="105" spans="2:16" s="16" customFormat="1" ht="29.25" customHeight="1" x14ac:dyDescent="0.2">
      <c r="B105" s="865" t="s">
        <v>896</v>
      </c>
      <c r="C105" s="989" t="s">
        <v>1013</v>
      </c>
      <c r="D105" s="177" t="s">
        <v>0</v>
      </c>
      <c r="E105" s="133">
        <v>65</v>
      </c>
      <c r="F105" s="133">
        <v>65</v>
      </c>
      <c r="G105" s="133">
        <v>35</v>
      </c>
      <c r="H105" s="133">
        <v>30</v>
      </c>
      <c r="I105" s="911" t="s">
        <v>221</v>
      </c>
      <c r="J105" s="925" t="s">
        <v>608</v>
      </c>
      <c r="K105" s="904"/>
      <c r="L105" s="939"/>
      <c r="M105" s="913"/>
      <c r="N105" s="913" t="s">
        <v>619</v>
      </c>
      <c r="O105" s="1045"/>
      <c r="P105" s="1193">
        <f t="shared" si="6"/>
        <v>0</v>
      </c>
    </row>
    <row r="106" spans="2:16" s="16" customFormat="1" ht="35.25" customHeight="1" x14ac:dyDescent="0.2">
      <c r="B106" s="866"/>
      <c r="C106" s="989"/>
      <c r="D106" s="177" t="s">
        <v>1</v>
      </c>
      <c r="E106" s="133">
        <v>375</v>
      </c>
      <c r="F106" s="133">
        <v>375</v>
      </c>
      <c r="G106" s="133">
        <v>300</v>
      </c>
      <c r="H106" s="133">
        <v>170</v>
      </c>
      <c r="I106" s="912"/>
      <c r="J106" s="925"/>
      <c r="K106" s="904"/>
      <c r="L106" s="939"/>
      <c r="M106" s="913"/>
      <c r="N106" s="913"/>
      <c r="O106" s="1045"/>
      <c r="P106" s="1193">
        <f t="shared" si="6"/>
        <v>0</v>
      </c>
    </row>
    <row r="107" spans="2:16" s="16" customFormat="1" ht="48" customHeight="1" x14ac:dyDescent="0.2">
      <c r="B107" s="101" t="s">
        <v>385</v>
      </c>
      <c r="C107" s="177" t="s">
        <v>58</v>
      </c>
      <c r="D107" s="177" t="s">
        <v>0</v>
      </c>
      <c r="E107" s="133">
        <v>200</v>
      </c>
      <c r="F107" s="133">
        <v>200</v>
      </c>
      <c r="G107" s="133">
        <v>200</v>
      </c>
      <c r="H107" s="133">
        <v>200</v>
      </c>
      <c r="I107" s="133" t="s">
        <v>222</v>
      </c>
      <c r="J107" s="360" t="s">
        <v>609</v>
      </c>
      <c r="K107" s="378" t="s">
        <v>470</v>
      </c>
      <c r="L107" s="713" t="s">
        <v>470</v>
      </c>
      <c r="M107" s="378" t="s">
        <v>470</v>
      </c>
      <c r="N107" s="378" t="s">
        <v>470</v>
      </c>
      <c r="O107" s="562"/>
      <c r="P107" s="1193">
        <f t="shared" si="6"/>
        <v>0</v>
      </c>
    </row>
    <row r="108" spans="2:16" s="16" customFormat="1" ht="49.5" customHeight="1" x14ac:dyDescent="0.2">
      <c r="B108" s="101" t="s">
        <v>386</v>
      </c>
      <c r="C108" s="177" t="s">
        <v>427</v>
      </c>
      <c r="D108" s="177" t="s">
        <v>0</v>
      </c>
      <c r="E108" s="133">
        <v>25</v>
      </c>
      <c r="F108" s="133">
        <v>25</v>
      </c>
      <c r="G108" s="133">
        <v>25</v>
      </c>
      <c r="H108" s="133">
        <v>25</v>
      </c>
      <c r="I108" s="133" t="s">
        <v>221</v>
      </c>
      <c r="J108" s="360" t="s">
        <v>610</v>
      </c>
      <c r="K108" s="378" t="s">
        <v>470</v>
      </c>
      <c r="L108" s="713" t="s">
        <v>470</v>
      </c>
      <c r="M108" s="378" t="s">
        <v>470</v>
      </c>
      <c r="N108" s="378" t="s">
        <v>470</v>
      </c>
      <c r="O108" s="562"/>
      <c r="P108" s="1193">
        <f t="shared" si="6"/>
        <v>0</v>
      </c>
    </row>
    <row r="109" spans="2:16" s="16" customFormat="1" ht="85.5" customHeight="1" x14ac:dyDescent="0.2">
      <c r="B109" s="101" t="s">
        <v>851</v>
      </c>
      <c r="C109" s="177" t="s">
        <v>60</v>
      </c>
      <c r="D109" s="177" t="s">
        <v>0</v>
      </c>
      <c r="E109" s="133">
        <v>100</v>
      </c>
      <c r="F109" s="133">
        <v>100</v>
      </c>
      <c r="G109" s="133">
        <v>150</v>
      </c>
      <c r="H109" s="133">
        <v>150</v>
      </c>
      <c r="I109" s="133" t="s">
        <v>223</v>
      </c>
      <c r="J109" s="360" t="s">
        <v>696</v>
      </c>
      <c r="K109" s="378" t="s">
        <v>466</v>
      </c>
      <c r="L109" s="713" t="s">
        <v>466</v>
      </c>
      <c r="M109" s="378" t="s">
        <v>466</v>
      </c>
      <c r="N109" s="378" t="s">
        <v>466</v>
      </c>
      <c r="O109" s="562"/>
      <c r="P109" s="1193">
        <f t="shared" si="6"/>
        <v>0</v>
      </c>
    </row>
    <row r="110" spans="2:16" s="16" customFormat="1" ht="34.5" customHeight="1" x14ac:dyDescent="0.2">
      <c r="B110" s="101" t="s">
        <v>852</v>
      </c>
      <c r="C110" s="145" t="s">
        <v>906</v>
      </c>
      <c r="D110" s="176" t="s">
        <v>3</v>
      </c>
      <c r="E110" s="133">
        <v>61.8</v>
      </c>
      <c r="F110" s="133">
        <v>61.8</v>
      </c>
      <c r="G110" s="133">
        <v>65</v>
      </c>
      <c r="H110" s="133">
        <v>68</v>
      </c>
      <c r="I110" s="133" t="s">
        <v>224</v>
      </c>
      <c r="J110" s="357" t="s">
        <v>611</v>
      </c>
      <c r="K110" s="377" t="s">
        <v>593</v>
      </c>
      <c r="L110" s="712" t="s">
        <v>593</v>
      </c>
      <c r="M110" s="377" t="s">
        <v>593</v>
      </c>
      <c r="N110" s="377" t="s">
        <v>593</v>
      </c>
      <c r="O110" s="567"/>
      <c r="P110" s="1193">
        <f t="shared" si="6"/>
        <v>0</v>
      </c>
    </row>
    <row r="111" spans="2:16" s="16" customFormat="1" ht="36" customHeight="1" x14ac:dyDescent="0.2">
      <c r="B111" s="865" t="s">
        <v>853</v>
      </c>
      <c r="C111" s="862" t="s">
        <v>1014</v>
      </c>
      <c r="D111" s="176" t="s">
        <v>0</v>
      </c>
      <c r="E111" s="133">
        <v>30</v>
      </c>
      <c r="F111" s="133">
        <v>30</v>
      </c>
      <c r="G111" s="133">
        <v>30</v>
      </c>
      <c r="H111" s="133">
        <v>70</v>
      </c>
      <c r="I111" s="985" t="s">
        <v>227</v>
      </c>
      <c r="J111" s="1004" t="s">
        <v>620</v>
      </c>
      <c r="K111" s="904"/>
      <c r="L111" s="939"/>
      <c r="M111" s="913"/>
      <c r="N111" s="913" t="s">
        <v>619</v>
      </c>
      <c r="O111" s="1046"/>
      <c r="P111" s="1193">
        <f t="shared" si="6"/>
        <v>0</v>
      </c>
    </row>
    <row r="112" spans="2:16" s="16" customFormat="1" ht="34.5" customHeight="1" x14ac:dyDescent="0.2">
      <c r="B112" s="866"/>
      <c r="C112" s="862"/>
      <c r="D112" s="176" t="s">
        <v>1</v>
      </c>
      <c r="E112" s="133">
        <v>170</v>
      </c>
      <c r="F112" s="133">
        <v>170</v>
      </c>
      <c r="G112" s="133">
        <v>170</v>
      </c>
      <c r="H112" s="133">
        <v>400</v>
      </c>
      <c r="I112" s="985"/>
      <c r="J112" s="1004"/>
      <c r="K112" s="904"/>
      <c r="L112" s="939"/>
      <c r="M112" s="913"/>
      <c r="N112" s="913"/>
      <c r="O112" s="1046"/>
      <c r="P112" s="1193">
        <f t="shared" si="6"/>
        <v>0</v>
      </c>
    </row>
    <row r="113" spans="2:16" s="16" customFormat="1" ht="30.75" customHeight="1" x14ac:dyDescent="0.2">
      <c r="B113" s="876" t="s">
        <v>854</v>
      </c>
      <c r="C113" s="990" t="s">
        <v>1015</v>
      </c>
      <c r="D113" s="176" t="s">
        <v>0</v>
      </c>
      <c r="E113" s="133">
        <v>35</v>
      </c>
      <c r="F113" s="133">
        <v>35</v>
      </c>
      <c r="G113" s="133">
        <v>0</v>
      </c>
      <c r="H113" s="133">
        <v>0</v>
      </c>
      <c r="I113" s="985" t="s">
        <v>227</v>
      </c>
      <c r="J113" s="924" t="s">
        <v>612</v>
      </c>
      <c r="K113" s="904" t="s">
        <v>559</v>
      </c>
      <c r="L113" s="939" t="s">
        <v>559</v>
      </c>
      <c r="M113" s="920"/>
      <c r="N113" s="920"/>
      <c r="O113" s="1047"/>
      <c r="P113" s="1193">
        <f t="shared" si="6"/>
        <v>0</v>
      </c>
    </row>
    <row r="114" spans="2:16" s="16" customFormat="1" ht="30.75" customHeight="1" x14ac:dyDescent="0.2">
      <c r="B114" s="876"/>
      <c r="C114" s="990"/>
      <c r="D114" s="176" t="s">
        <v>1</v>
      </c>
      <c r="E114" s="133">
        <v>182</v>
      </c>
      <c r="F114" s="133">
        <v>182</v>
      </c>
      <c r="G114" s="133">
        <v>0</v>
      </c>
      <c r="H114" s="133">
        <v>0</v>
      </c>
      <c r="I114" s="985"/>
      <c r="J114" s="924"/>
      <c r="K114" s="904"/>
      <c r="L114" s="939"/>
      <c r="M114" s="920"/>
      <c r="N114" s="920"/>
      <c r="O114" s="1047"/>
      <c r="P114" s="1193">
        <f t="shared" si="6"/>
        <v>0</v>
      </c>
    </row>
    <row r="115" spans="2:16" s="16" customFormat="1" ht="31.5" customHeight="1" x14ac:dyDescent="0.2">
      <c r="B115" s="876" t="s">
        <v>855</v>
      </c>
      <c r="C115" s="1005" t="s">
        <v>1016</v>
      </c>
      <c r="D115" s="176" t="s">
        <v>0</v>
      </c>
      <c r="E115" s="150">
        <v>34.5</v>
      </c>
      <c r="F115" s="150">
        <v>34.5</v>
      </c>
      <c r="G115" s="150">
        <v>7</v>
      </c>
      <c r="H115" s="150">
        <v>120</v>
      </c>
      <c r="I115" s="985" t="s">
        <v>221</v>
      </c>
      <c r="J115" s="924" t="s">
        <v>666</v>
      </c>
      <c r="K115" s="904"/>
      <c r="L115" s="939"/>
      <c r="M115" s="913"/>
      <c r="N115" s="913" t="s">
        <v>619</v>
      </c>
      <c r="O115" s="1047"/>
      <c r="P115" s="1193">
        <f t="shared" si="6"/>
        <v>0</v>
      </c>
    </row>
    <row r="116" spans="2:16" s="16" customFormat="1" ht="24" customHeight="1" x14ac:dyDescent="0.2">
      <c r="B116" s="876"/>
      <c r="C116" s="1005"/>
      <c r="D116" s="176" t="s">
        <v>1</v>
      </c>
      <c r="E116" s="150">
        <v>195.5</v>
      </c>
      <c r="F116" s="150">
        <v>195.5</v>
      </c>
      <c r="G116" s="150">
        <v>510</v>
      </c>
      <c r="H116" s="150">
        <v>560</v>
      </c>
      <c r="I116" s="985"/>
      <c r="J116" s="924"/>
      <c r="K116" s="904"/>
      <c r="L116" s="939"/>
      <c r="M116" s="913"/>
      <c r="N116" s="913"/>
      <c r="O116" s="1047"/>
      <c r="P116" s="1193">
        <f t="shared" si="6"/>
        <v>0</v>
      </c>
    </row>
    <row r="117" spans="2:16" s="17" customFormat="1" ht="36" customHeight="1" x14ac:dyDescent="0.2">
      <c r="B117" s="876" t="s">
        <v>897</v>
      </c>
      <c r="C117" s="862" t="s">
        <v>1017</v>
      </c>
      <c r="D117" s="176" t="s">
        <v>0</v>
      </c>
      <c r="E117" s="150">
        <v>38</v>
      </c>
      <c r="F117" s="150">
        <v>38</v>
      </c>
      <c r="G117" s="150">
        <v>44</v>
      </c>
      <c r="H117" s="150">
        <v>0</v>
      </c>
      <c r="I117" s="985" t="s">
        <v>221</v>
      </c>
      <c r="J117" s="924" t="s">
        <v>613</v>
      </c>
      <c r="K117" s="904"/>
      <c r="L117" s="939"/>
      <c r="M117" s="913"/>
      <c r="N117" s="913" t="s">
        <v>619</v>
      </c>
      <c r="O117" s="1047"/>
      <c r="P117" s="1193">
        <f t="shared" si="6"/>
        <v>0</v>
      </c>
    </row>
    <row r="118" spans="2:16" s="17" customFormat="1" ht="31.5" customHeight="1" x14ac:dyDescent="0.2">
      <c r="B118" s="876"/>
      <c r="C118" s="862"/>
      <c r="D118" s="176" t="s">
        <v>1</v>
      </c>
      <c r="E118" s="150">
        <v>200</v>
      </c>
      <c r="F118" s="158">
        <v>200</v>
      </c>
      <c r="G118" s="158">
        <v>273</v>
      </c>
      <c r="H118" s="150">
        <v>0</v>
      </c>
      <c r="I118" s="985"/>
      <c r="J118" s="924"/>
      <c r="K118" s="904"/>
      <c r="L118" s="939"/>
      <c r="M118" s="913"/>
      <c r="N118" s="913"/>
      <c r="O118" s="1047"/>
      <c r="P118" s="1193">
        <f t="shared" si="6"/>
        <v>0</v>
      </c>
    </row>
    <row r="119" spans="2:16" s="16" customFormat="1" ht="31.5" customHeight="1" x14ac:dyDescent="0.2">
      <c r="B119" s="987" t="s">
        <v>169</v>
      </c>
      <c r="C119" s="987"/>
      <c r="D119" s="988"/>
      <c r="E119" s="457">
        <f>+E103+E84+E76+E58+E50+E30+E21+E7</f>
        <v>54023.5</v>
      </c>
      <c r="F119" s="457">
        <f>+F103+F84+F76+F58+F50+F30+F21+F7</f>
        <v>53572.499999999993</v>
      </c>
      <c r="G119" s="457">
        <f>+G103+G84+G76+G58+G50+G30+G21+G7</f>
        <v>56506</v>
      </c>
      <c r="H119" s="457">
        <f>+H103+H84+H76+H58+H50+H30+H21+H7</f>
        <v>56199.4</v>
      </c>
      <c r="I119" s="1189">
        <f>+F119-E119</f>
        <v>-451.00000000000728</v>
      </c>
      <c r="J119" s="366"/>
      <c r="K119" s="381"/>
      <c r="L119" s="716"/>
      <c r="M119" s="381"/>
      <c r="N119" s="381"/>
      <c r="O119" s="651"/>
      <c r="P119" s="1194"/>
    </row>
    <row r="120" spans="2:16" s="687" customFormat="1" ht="21" customHeight="1" x14ac:dyDescent="0.2">
      <c r="B120" s="986"/>
      <c r="C120" s="986"/>
      <c r="D120" s="986"/>
      <c r="E120" s="684">
        <f>+E119-E121-E129</f>
        <v>0</v>
      </c>
      <c r="F120" s="684">
        <f t="shared" ref="F120:H120" si="9">+F119-F121-F129</f>
        <v>0</v>
      </c>
      <c r="G120" s="684">
        <f t="shared" si="9"/>
        <v>0</v>
      </c>
      <c r="H120" s="684">
        <f t="shared" si="9"/>
        <v>0</v>
      </c>
      <c r="I120" s="1189"/>
      <c r="J120" s="685"/>
      <c r="K120" s="686"/>
      <c r="L120" s="717"/>
      <c r="M120" s="686"/>
      <c r="N120" s="686"/>
      <c r="O120" s="685"/>
      <c r="P120" s="1194"/>
    </row>
    <row r="121" spans="2:16" s="56" customFormat="1" ht="30" customHeight="1" x14ac:dyDescent="0.2">
      <c r="B121" s="454"/>
      <c r="C121" s="448" t="s">
        <v>143</v>
      </c>
      <c r="D121" s="448"/>
      <c r="E121" s="449">
        <f t="shared" ref="E121:H121" si="10">SUM(E123:E128)</f>
        <v>53806.5</v>
      </c>
      <c r="F121" s="449">
        <f t="shared" si="10"/>
        <v>53355.499999999993</v>
      </c>
      <c r="G121" s="449">
        <f t="shared" si="10"/>
        <v>56395</v>
      </c>
      <c r="H121" s="449">
        <f t="shared" si="10"/>
        <v>56088.4</v>
      </c>
      <c r="I121" s="1189">
        <f t="shared" ref="I120:I132" si="11">+F121-E121</f>
        <v>-451.00000000000728</v>
      </c>
      <c r="J121" s="367"/>
      <c r="K121" s="382"/>
      <c r="L121" s="718"/>
      <c r="M121" s="382"/>
      <c r="N121" s="382"/>
      <c r="O121" s="652"/>
      <c r="P121" s="1195"/>
    </row>
    <row r="122" spans="2:16" s="56" customFormat="1" ht="17.25" customHeight="1" x14ac:dyDescent="0.2">
      <c r="B122" s="103"/>
      <c r="C122" s="178" t="s">
        <v>144</v>
      </c>
      <c r="D122" s="33"/>
      <c r="E122" s="160"/>
      <c r="F122" s="160"/>
      <c r="G122" s="160"/>
      <c r="H122" s="160"/>
      <c r="I122" s="1189">
        <f t="shared" si="11"/>
        <v>0</v>
      </c>
      <c r="J122" s="368"/>
      <c r="K122" s="383"/>
      <c r="L122" s="719"/>
      <c r="M122" s="383"/>
      <c r="N122" s="383"/>
      <c r="O122" s="653"/>
      <c r="P122" s="1195"/>
    </row>
    <row r="123" spans="2:16" s="56" customFormat="1" ht="33.75" customHeight="1" x14ac:dyDescent="0.2">
      <c r="B123" s="103"/>
      <c r="C123" s="392" t="s">
        <v>145</v>
      </c>
      <c r="D123" s="57" t="s">
        <v>0</v>
      </c>
      <c r="E123" s="58">
        <f>+E117+E115+E113+E111+E109+E108+E107+E105+E104+E97+E94+E92+E88+E87+E86+E85+E81+E80+E68+E67+E66+E62+E59+E57+E55+E54+E53+E52+E51+E49+E37+E36+E35+E32+E26+E23+E18+E16+E14+E12+E9+E8+E75+E98+E100</f>
        <v>16347.099999999999</v>
      </c>
      <c r="F123" s="58">
        <f>+F117+F115+F113+F111+F109+F108+F107+F105+F104+F97+F94+F92+F88+F87+F86+F85+F81+F80+F68+F67+F66+F62+F59+F57+F55+F54+F53+F52+F51+F49+F37+F36+F35+F32+F26+F23+F18+F16+F14+F12+F9+F8+F75+F98+F100</f>
        <v>16372.899999999998</v>
      </c>
      <c r="G123" s="58">
        <f>+G117+G115+G113+G111+G109+G108+G107+G105+G104+G97+G94+G92+G88+G87+G86+G85+G81+G80+G68+G67+G66+G62+G59+G57+G55+G54+G53+G52+G51+G49+G37+G36+G35+G32+G26+G23+G18+G16+G14+G12+G9+G8+G75+G98+G100</f>
        <v>17670.099999999999</v>
      </c>
      <c r="H123" s="58">
        <f>+H117+H115+H113+H111+H109+H108+H107+H105+H104+H97+H94+H92+H88+H87+H86+H85+H81+H80+H68+H67+H66+H62+H59+H57+H55+H54+H53+H52+H51+H49+H37+H36+H35+H32+H26+H23+H18+H16+H14+H12+H9+H8+H75+H98+H100</f>
        <v>17194.099999999999</v>
      </c>
      <c r="I123" s="1189">
        <f t="shared" si="11"/>
        <v>25.799999999999272</v>
      </c>
      <c r="J123" s="369"/>
      <c r="K123" s="383"/>
      <c r="L123" s="719"/>
      <c r="M123" s="383"/>
      <c r="N123" s="383"/>
      <c r="O123" s="654"/>
      <c r="P123" s="1195"/>
    </row>
    <row r="124" spans="2:16" s="56" customFormat="1" ht="28.5" customHeight="1" x14ac:dyDescent="0.2">
      <c r="B124" s="103"/>
      <c r="C124" s="392" t="s">
        <v>146</v>
      </c>
      <c r="D124" s="57" t="s">
        <v>3</v>
      </c>
      <c r="E124" s="58">
        <f>+E110+E96+E95+E93+E91+E89+E83+E82+E77+E74+E72+E71+E70+E65+E64+E60+E48+E45+E44+E43+E42+E41+E40+E39+E38+E33+E31+E29+E24+E17+E11+E19+E20</f>
        <v>32341</v>
      </c>
      <c r="F124" s="58">
        <f>+F110+F96+F95+F93+F91+F89+F83+F82+F77+F74+F72+F71+F70+F65+F64+F60+F48+F45+F44+F43+F42+F41+F40+F39+F38+F33+F31+F29+F24+F17+F11+F19+F20</f>
        <v>31907.899999999998</v>
      </c>
      <c r="G124" s="58">
        <f>+G110+G96+G95+G93+G91+G89+G83+G82+G77+G74+G72+G71+G70+G65+G64+G60+G48+G45+G44+G43+G42+G41+G40+G39+G38+G33+G31+G29+G24+G17+G11+G19+G20</f>
        <v>32988.800000000003</v>
      </c>
      <c r="H124" s="58">
        <f>+H110+H96+H95+H93+H91+H89+H83+H82+H77+H74+H72+H71+H70+H65+H64+H60+H48+H45+H44+H43+H42+H41+H40+H39+H38+H33+H31+H29+H24+H17+H11+H19+H20</f>
        <v>33270.800000000003</v>
      </c>
      <c r="I124" s="1189">
        <f t="shared" si="11"/>
        <v>-433.10000000000218</v>
      </c>
      <c r="J124" s="368"/>
      <c r="K124" s="383"/>
      <c r="L124" s="719"/>
      <c r="M124" s="383"/>
      <c r="N124" s="383"/>
      <c r="O124" s="653"/>
      <c r="P124" s="1195"/>
    </row>
    <row r="125" spans="2:16" s="56" customFormat="1" ht="22.5" customHeight="1" x14ac:dyDescent="0.2">
      <c r="B125" s="103"/>
      <c r="C125" s="392" t="s">
        <v>147</v>
      </c>
      <c r="D125" s="57" t="s">
        <v>4</v>
      </c>
      <c r="E125" s="58">
        <f>+E90+E61+E10</f>
        <v>2047.8999999999999</v>
      </c>
      <c r="F125" s="58">
        <f>+F90+F61+F10</f>
        <v>2054.1999999999998</v>
      </c>
      <c r="G125" s="58">
        <f>+G90+G61+G10</f>
        <v>2059.1</v>
      </c>
      <c r="H125" s="58">
        <f>+H90+H61+H10</f>
        <v>2059.1</v>
      </c>
      <c r="I125" s="1189">
        <f t="shared" si="11"/>
        <v>6.2999999999999545</v>
      </c>
      <c r="J125" s="368"/>
      <c r="K125" s="383"/>
      <c r="L125" s="719"/>
      <c r="M125" s="383"/>
      <c r="N125" s="383"/>
      <c r="O125" s="653"/>
      <c r="P125" s="1195"/>
    </row>
    <row r="126" spans="2:16" s="56" customFormat="1" ht="22.5" customHeight="1" x14ac:dyDescent="0.2">
      <c r="B126" s="103"/>
      <c r="C126" s="392" t="s">
        <v>148</v>
      </c>
      <c r="D126" s="57" t="s">
        <v>1</v>
      </c>
      <c r="E126" s="58">
        <f>+E118+E116+E114+E112+E106+E78+E73+E69+E63+E56+E47+E46+E28+E27+E22+E15+E13+E99+E101</f>
        <v>3070.5</v>
      </c>
      <c r="F126" s="58">
        <f t="shared" ref="F126:H126" si="12">+F118+F116+F114+F112+F106+F78+F73+F69+F63+F56+F47+F46+F28+F27+F22+F15+F13+F99+F101</f>
        <v>3020.5</v>
      </c>
      <c r="G126" s="58">
        <f t="shared" si="12"/>
        <v>3677</v>
      </c>
      <c r="H126" s="58">
        <f t="shared" si="12"/>
        <v>3564.4</v>
      </c>
      <c r="I126" s="1189">
        <f t="shared" si="11"/>
        <v>-50</v>
      </c>
      <c r="J126" s="368"/>
      <c r="K126" s="383"/>
      <c r="L126" s="719"/>
      <c r="M126" s="383"/>
      <c r="N126" s="383"/>
      <c r="O126" s="653"/>
      <c r="P126" s="1195"/>
    </row>
    <row r="127" spans="2:16" s="56" customFormat="1" ht="22.5" customHeight="1" x14ac:dyDescent="0.2">
      <c r="B127" s="103"/>
      <c r="C127" s="392" t="s">
        <v>149</v>
      </c>
      <c r="D127" s="57" t="s">
        <v>2</v>
      </c>
      <c r="E127" s="160"/>
      <c r="F127" s="160"/>
      <c r="G127" s="160"/>
      <c r="H127" s="160"/>
      <c r="I127" s="1189">
        <f t="shared" si="11"/>
        <v>0</v>
      </c>
      <c r="J127" s="368"/>
      <c r="K127" s="383"/>
      <c r="L127" s="719"/>
      <c r="M127" s="383"/>
      <c r="N127" s="383"/>
      <c r="O127" s="653"/>
      <c r="P127" s="1195"/>
    </row>
    <row r="128" spans="2:16" s="56" customFormat="1" ht="22.5" customHeight="1" x14ac:dyDescent="0.2">
      <c r="B128" s="104"/>
      <c r="C128" s="393" t="s">
        <v>150</v>
      </c>
      <c r="D128" s="59" t="s">
        <v>154</v>
      </c>
      <c r="E128" s="160"/>
      <c r="F128" s="160"/>
      <c r="G128" s="160"/>
      <c r="H128" s="160"/>
      <c r="I128" s="1189">
        <f t="shared" si="11"/>
        <v>0</v>
      </c>
      <c r="J128" s="368"/>
      <c r="K128" s="383"/>
      <c r="L128" s="719"/>
      <c r="M128" s="383"/>
      <c r="N128" s="383"/>
      <c r="O128" s="653"/>
      <c r="P128" s="1195"/>
    </row>
    <row r="129" spans="2:16" s="56" customFormat="1" ht="46.5" customHeight="1" x14ac:dyDescent="0.2">
      <c r="B129" s="455"/>
      <c r="C129" s="451" t="s">
        <v>151</v>
      </c>
      <c r="D129" s="451" t="s">
        <v>155</v>
      </c>
      <c r="E129" s="449">
        <f>+E79+E25+E102</f>
        <v>217</v>
      </c>
      <c r="F129" s="449">
        <f>+F79+F25+F102</f>
        <v>217</v>
      </c>
      <c r="G129" s="449">
        <f>+G79+G25+G102</f>
        <v>111</v>
      </c>
      <c r="H129" s="449">
        <f>+H79+H25+H102</f>
        <v>111</v>
      </c>
      <c r="I129" s="1189">
        <f t="shared" si="11"/>
        <v>0</v>
      </c>
      <c r="J129" s="370"/>
      <c r="K129" s="384"/>
      <c r="L129" s="720"/>
      <c r="M129" s="384"/>
      <c r="N129" s="384"/>
      <c r="O129" s="655"/>
      <c r="P129" s="1195"/>
    </row>
    <row r="130" spans="2:16" s="96" customFormat="1" ht="36" customHeight="1" x14ac:dyDescent="0.2">
      <c r="B130" s="456"/>
      <c r="C130" s="414" t="s">
        <v>153</v>
      </c>
      <c r="D130" s="414"/>
      <c r="E130" s="415">
        <f t="shared" ref="E130:H130" si="13">+E129+E121</f>
        <v>54023.5</v>
      </c>
      <c r="F130" s="415">
        <f t="shared" si="13"/>
        <v>53572.499999999993</v>
      </c>
      <c r="G130" s="415">
        <f t="shared" si="13"/>
        <v>56506</v>
      </c>
      <c r="H130" s="415">
        <f t="shared" si="13"/>
        <v>56199.4</v>
      </c>
      <c r="I130" s="1189">
        <f t="shared" si="11"/>
        <v>-451.00000000000728</v>
      </c>
      <c r="J130" s="370"/>
      <c r="K130" s="384"/>
      <c r="L130" s="720"/>
      <c r="M130" s="384"/>
      <c r="N130" s="384"/>
      <c r="O130" s="655"/>
      <c r="P130" s="1195"/>
    </row>
    <row r="131" spans="2:16" s="109" customFormat="1" ht="21.75" customHeight="1" x14ac:dyDescent="0.2">
      <c r="B131" s="108"/>
      <c r="C131" s="392" t="s">
        <v>152</v>
      </c>
      <c r="D131" s="178"/>
      <c r="E131" s="161">
        <f>+E118+E116+E114+E112+E106+E69+E63+E47++E28+E27+E22+E15+E13</f>
        <v>2891</v>
      </c>
      <c r="F131" s="161">
        <f t="shared" ref="F131:H131" si="14">+F118+F116+F114+F112+F106+F69+F63+F47++F28+F27+F22+F15+F13</f>
        <v>2841</v>
      </c>
      <c r="G131" s="161">
        <f t="shared" si="14"/>
        <v>3240.5</v>
      </c>
      <c r="H131" s="161">
        <f t="shared" si="14"/>
        <v>2979.9</v>
      </c>
      <c r="I131" s="1189"/>
      <c r="J131" s="368"/>
      <c r="K131" s="383"/>
      <c r="L131" s="719"/>
      <c r="M131" s="383"/>
      <c r="N131" s="383"/>
      <c r="O131" s="653"/>
      <c r="P131" s="1196"/>
    </row>
    <row r="132" spans="2:16" s="16" customFormat="1" ht="39" customHeight="1" x14ac:dyDescent="0.2">
      <c r="B132" s="32"/>
      <c r="C132" s="394" t="s">
        <v>173</v>
      </c>
      <c r="D132" s="339"/>
      <c r="E132" s="58">
        <f>+((E130*100)/48695.2)-100</f>
        <v>10.94214624850089</v>
      </c>
      <c r="F132" s="58">
        <v>9.4</v>
      </c>
      <c r="G132" s="58">
        <f t="shared" ref="G132:H132" si="15">+((G130*100)/48695.2)-100</f>
        <v>16.040184658857555</v>
      </c>
      <c r="H132" s="58">
        <f t="shared" si="15"/>
        <v>15.4105538122854</v>
      </c>
      <c r="I132" s="1189"/>
      <c r="J132" s="371"/>
      <c r="K132" s="385"/>
      <c r="L132" s="721"/>
      <c r="M132" s="385"/>
      <c r="N132" s="385"/>
      <c r="O132" s="656"/>
      <c r="P132" s="1194"/>
    </row>
    <row r="133" spans="2:16" s="1174" customFormat="1" ht="21" customHeight="1" x14ac:dyDescent="0.25">
      <c r="B133" s="1179" t="s">
        <v>1092</v>
      </c>
      <c r="C133" s="1179"/>
      <c r="D133" s="1179"/>
      <c r="E133" s="1179"/>
      <c r="F133" s="1179"/>
      <c r="G133" s="1179"/>
      <c r="H133" s="1179"/>
      <c r="I133" s="1170"/>
      <c r="J133" s="1171"/>
      <c r="K133" s="1172"/>
      <c r="L133" s="1172"/>
      <c r="M133" s="1172"/>
      <c r="N133" s="1172"/>
      <c r="O133" s="1173"/>
      <c r="P133" s="1204"/>
    </row>
    <row r="134" spans="2:16" s="1174" customFormat="1" ht="35.25" customHeight="1" x14ac:dyDescent="0.25">
      <c r="B134" s="1184" t="s">
        <v>1095</v>
      </c>
      <c r="C134" s="1185"/>
      <c r="D134" s="1180"/>
      <c r="E134" s="1180"/>
      <c r="F134" s="1180"/>
      <c r="G134" s="1180"/>
      <c r="H134" s="1186"/>
      <c r="I134" s="1170"/>
      <c r="J134" s="1171"/>
      <c r="K134" s="1172"/>
      <c r="L134" s="1172"/>
      <c r="M134" s="1172"/>
      <c r="N134" s="1172"/>
      <c r="O134" s="1173"/>
      <c r="P134" s="1204"/>
    </row>
    <row r="135" spans="2:16" s="1174" customFormat="1" ht="24.75" customHeight="1" x14ac:dyDescent="0.25">
      <c r="B135" s="1181" t="s">
        <v>1094</v>
      </c>
      <c r="C135" s="1181"/>
      <c r="D135" s="1181"/>
      <c r="E135" s="1187"/>
      <c r="F135" s="1188"/>
      <c r="G135" s="1188"/>
      <c r="H135" s="1188"/>
      <c r="I135" s="1175"/>
      <c r="J135" s="1176"/>
      <c r="K135" s="1177"/>
      <c r="L135" s="1177"/>
      <c r="M135" s="1177"/>
      <c r="N135" s="1177"/>
      <c r="O135" s="1178"/>
      <c r="P135" s="1204"/>
    </row>
    <row r="137" spans="2:16" ht="30" customHeight="1" x14ac:dyDescent="0.2">
      <c r="E137" s="164"/>
      <c r="F137" s="164"/>
      <c r="G137" s="164"/>
      <c r="H137" s="164"/>
    </row>
    <row r="138" spans="2:16" ht="30" customHeight="1" x14ac:dyDescent="0.2">
      <c r="F138" s="165"/>
    </row>
    <row r="139" spans="2:16" ht="30" customHeight="1" x14ac:dyDescent="0.2">
      <c r="C139" s="180"/>
      <c r="E139" s="165"/>
      <c r="F139" s="165"/>
      <c r="G139" s="165"/>
      <c r="H139" s="165"/>
    </row>
    <row r="140" spans="2:16" ht="30" customHeight="1" x14ac:dyDescent="0.2">
      <c r="E140" s="166"/>
      <c r="F140" s="166"/>
      <c r="G140" s="166"/>
      <c r="H140" s="166"/>
    </row>
    <row r="141" spans="2:16" ht="30" customHeight="1" x14ac:dyDescent="0.2">
      <c r="E141" s="167"/>
      <c r="F141" s="167"/>
      <c r="G141" s="167"/>
      <c r="H141" s="167"/>
    </row>
  </sheetData>
  <mergeCells count="265">
    <mergeCell ref="P4:P6"/>
    <mergeCell ref="B133:H133"/>
    <mergeCell ref="O105:O106"/>
    <mergeCell ref="O111:O112"/>
    <mergeCell ref="O113:O114"/>
    <mergeCell ref="O115:O116"/>
    <mergeCell ref="O117:O118"/>
    <mergeCell ref="O77:O78"/>
    <mergeCell ref="O79:O80"/>
    <mergeCell ref="O81:O82"/>
    <mergeCell ref="O88:O90"/>
    <mergeCell ref="O91:O92"/>
    <mergeCell ref="O98:O99"/>
    <mergeCell ref="O100:O102"/>
    <mergeCell ref="O28:O29"/>
    <mergeCell ref="O31:O32"/>
    <mergeCell ref="O41:O42"/>
    <mergeCell ref="O48:O49"/>
    <mergeCell ref="O59:O61"/>
    <mergeCell ref="O63:O64"/>
    <mergeCell ref="O65:O66"/>
    <mergeCell ref="O68:O69"/>
    <mergeCell ref="O74:O75"/>
    <mergeCell ref="C98:C99"/>
    <mergeCell ref="I98:I99"/>
    <mergeCell ref="N98:N99"/>
    <mergeCell ref="J98:J99"/>
    <mergeCell ref="K98:K99"/>
    <mergeCell ref="L98:L99"/>
    <mergeCell ref="M98:M99"/>
    <mergeCell ref="B98:B99"/>
    <mergeCell ref="B100:B102"/>
    <mergeCell ref="C100:C102"/>
    <mergeCell ref="N100:N102"/>
    <mergeCell ref="M100:M102"/>
    <mergeCell ref="L100:L102"/>
    <mergeCell ref="K100:K102"/>
    <mergeCell ref="J100:J102"/>
    <mergeCell ref="I100:I102"/>
    <mergeCell ref="L79:L80"/>
    <mergeCell ref="L117:L118"/>
    <mergeCell ref="L81:L82"/>
    <mergeCell ref="L88:L90"/>
    <mergeCell ref="L91:L92"/>
    <mergeCell ref="L105:L106"/>
    <mergeCell ref="L111:L112"/>
    <mergeCell ref="L113:L114"/>
    <mergeCell ref="L115:L116"/>
    <mergeCell ref="L12:L13"/>
    <mergeCell ref="L15:L17"/>
    <mergeCell ref="L22:L25"/>
    <mergeCell ref="L26:L27"/>
    <mergeCell ref="L28:L29"/>
    <mergeCell ref="L41:L42"/>
    <mergeCell ref="L68:L69"/>
    <mergeCell ref="L74:L75"/>
    <mergeCell ref="L77:L78"/>
    <mergeCell ref="O4:O6"/>
    <mergeCell ref="O9:O10"/>
    <mergeCell ref="O12:O13"/>
    <mergeCell ref="O15:O17"/>
    <mergeCell ref="O22:O25"/>
    <mergeCell ref="O26:O27"/>
    <mergeCell ref="N41:N42"/>
    <mergeCell ref="I115:I116"/>
    <mergeCell ref="B79:B80"/>
    <mergeCell ref="C79:C80"/>
    <mergeCell ref="B77:B78"/>
    <mergeCell ref="C77:C78"/>
    <mergeCell ref="B81:B82"/>
    <mergeCell ref="C81:C82"/>
    <mergeCell ref="J88:J90"/>
    <mergeCell ref="J117:J118"/>
    <mergeCell ref="J111:J112"/>
    <mergeCell ref="I117:I118"/>
    <mergeCell ref="B115:B116"/>
    <mergeCell ref="C115:C116"/>
    <mergeCell ref="F4:F6"/>
    <mergeCell ref="K4:N4"/>
    <mergeCell ref="L5:L6"/>
    <mergeCell ref="I111:I112"/>
    <mergeCell ref="B120:D120"/>
    <mergeCell ref="C111:C112"/>
    <mergeCell ref="B117:B118"/>
    <mergeCell ref="C117:C118"/>
    <mergeCell ref="B119:D119"/>
    <mergeCell ref="B105:B106"/>
    <mergeCell ref="C105:C106"/>
    <mergeCell ref="B113:B114"/>
    <mergeCell ref="C113:C114"/>
    <mergeCell ref="I113:I114"/>
    <mergeCell ref="K111:K112"/>
    <mergeCell ref="B111:B112"/>
    <mergeCell ref="B2:M2"/>
    <mergeCell ref="K5:K6"/>
    <mergeCell ref="M5:M6"/>
    <mergeCell ref="M9:M10"/>
    <mergeCell ref="J12:J13"/>
    <mergeCell ref="J4:J6"/>
    <mergeCell ref="J9:J10"/>
    <mergeCell ref="E4:E6"/>
    <mergeCell ref="I4:I6"/>
    <mergeCell ref="B4:B6"/>
    <mergeCell ref="G4:G6"/>
    <mergeCell ref="C4:D6"/>
    <mergeCell ref="C7:D7"/>
    <mergeCell ref="B12:B13"/>
    <mergeCell ref="H4:H6"/>
    <mergeCell ref="K15:K17"/>
    <mergeCell ref="K9:K10"/>
    <mergeCell ref="K12:K13"/>
    <mergeCell ref="C58:D58"/>
    <mergeCell ref="C65:C66"/>
    <mergeCell ref="I65:I66"/>
    <mergeCell ref="C21:D21"/>
    <mergeCell ref="N5:N6"/>
    <mergeCell ref="N9:N10"/>
    <mergeCell ref="N12:N13"/>
    <mergeCell ref="N22:N25"/>
    <mergeCell ref="N26:N27"/>
    <mergeCell ref="N28:N29"/>
    <mergeCell ref="N15:N17"/>
    <mergeCell ref="N31:N32"/>
    <mergeCell ref="M31:M32"/>
    <mergeCell ref="B48:B49"/>
    <mergeCell ref="C48:C49"/>
    <mergeCell ref="B41:B42"/>
    <mergeCell ref="C41:C42"/>
    <mergeCell ref="B33:B34"/>
    <mergeCell ref="C33:C34"/>
    <mergeCell ref="D33:D34"/>
    <mergeCell ref="H33:H34"/>
    <mergeCell ref="F33:F34"/>
    <mergeCell ref="E33:E34"/>
    <mergeCell ref="G33:G34"/>
    <mergeCell ref="B65:B66"/>
    <mergeCell ref="B68:B69"/>
    <mergeCell ref="I68:I69"/>
    <mergeCell ref="B59:B61"/>
    <mergeCell ref="C59:C61"/>
    <mergeCell ref="I74:I75"/>
    <mergeCell ref="C63:C64"/>
    <mergeCell ref="B63:B64"/>
    <mergeCell ref="I95"/>
    <mergeCell ref="C91:C92"/>
    <mergeCell ref="B91:B92"/>
    <mergeCell ref="C88:C90"/>
    <mergeCell ref="B88:B90"/>
    <mergeCell ref="I91:I92"/>
    <mergeCell ref="I89:I90"/>
    <mergeCell ref="C68:C69"/>
    <mergeCell ref="I93:I94"/>
    <mergeCell ref="C93:C94"/>
    <mergeCell ref="B93:B94"/>
    <mergeCell ref="C74:C75"/>
    <mergeCell ref="B74:B75"/>
    <mergeCell ref="B9:B11"/>
    <mergeCell ref="C22:C25"/>
    <mergeCell ref="B26:B27"/>
    <mergeCell ref="C28:C29"/>
    <mergeCell ref="B28:B29"/>
    <mergeCell ref="B22:B25"/>
    <mergeCell ref="C12:C13"/>
    <mergeCell ref="B15:B17"/>
    <mergeCell ref="B31:B32"/>
    <mergeCell ref="C15:C17"/>
    <mergeCell ref="C9:C11"/>
    <mergeCell ref="C26:C27"/>
    <mergeCell ref="C31:C32"/>
    <mergeCell ref="C1:M1"/>
    <mergeCell ref="K79:K80"/>
    <mergeCell ref="K81:K82"/>
    <mergeCell ref="K88:K90"/>
    <mergeCell ref="M41:M42"/>
    <mergeCell ref="M48:M49"/>
    <mergeCell ref="M59:M61"/>
    <mergeCell ref="M65:M66"/>
    <mergeCell ref="M68:M69"/>
    <mergeCell ref="M77:M78"/>
    <mergeCell ref="K31:K32"/>
    <mergeCell ref="K41:K42"/>
    <mergeCell ref="K48:K49"/>
    <mergeCell ref="K59:K61"/>
    <mergeCell ref="K65:K66"/>
    <mergeCell ref="M81:M82"/>
    <mergeCell ref="K68:K69"/>
    <mergeCell ref="M12:M13"/>
    <mergeCell ref="K77:K78"/>
    <mergeCell ref="M28:M29"/>
    <mergeCell ref="M15:M17"/>
    <mergeCell ref="K26:K27"/>
    <mergeCell ref="J59:J61"/>
    <mergeCell ref="J65:J66"/>
    <mergeCell ref="K113:K114"/>
    <mergeCell ref="K115:K116"/>
    <mergeCell ref="I12:I13"/>
    <mergeCell ref="N117:N118"/>
    <mergeCell ref="M88:M90"/>
    <mergeCell ref="M91:M92"/>
    <mergeCell ref="M105:M106"/>
    <mergeCell ref="M111:M112"/>
    <mergeCell ref="M113:M114"/>
    <mergeCell ref="N91:N92"/>
    <mergeCell ref="N48:N49"/>
    <mergeCell ref="N59:N61"/>
    <mergeCell ref="N65:N66"/>
    <mergeCell ref="N68:N69"/>
    <mergeCell ref="N77:N78"/>
    <mergeCell ref="N79:N80"/>
    <mergeCell ref="N81:N82"/>
    <mergeCell ref="N88:N90"/>
    <mergeCell ref="N74:N75"/>
    <mergeCell ref="M117:M118"/>
    <mergeCell ref="L31:L32"/>
    <mergeCell ref="L48:L49"/>
    <mergeCell ref="L59:L61"/>
    <mergeCell ref="L63:L64"/>
    <mergeCell ref="K22:K25"/>
    <mergeCell ref="M26:M27"/>
    <mergeCell ref="M22:M25"/>
    <mergeCell ref="I9:I10"/>
    <mergeCell ref="K28:K29"/>
    <mergeCell ref="J68:J69"/>
    <mergeCell ref="J77:J78"/>
    <mergeCell ref="J79:J80"/>
    <mergeCell ref="J81:J82"/>
    <mergeCell ref="I59:I61"/>
    <mergeCell ref="I48:I49"/>
    <mergeCell ref="J15:J17"/>
    <mergeCell ref="J28:J29"/>
    <mergeCell ref="J22:J25"/>
    <mergeCell ref="J26:J27"/>
    <mergeCell ref="I15:I17"/>
    <mergeCell ref="L65:L66"/>
    <mergeCell ref="I28:I29"/>
    <mergeCell ref="I22:I25"/>
    <mergeCell ref="I31:I32"/>
    <mergeCell ref="J31:J32"/>
    <mergeCell ref="J41:J42"/>
    <mergeCell ref="J48:J49"/>
    <mergeCell ref="L9:L10"/>
    <mergeCell ref="K117:K118"/>
    <mergeCell ref="J63:J64"/>
    <mergeCell ref="K63:K64"/>
    <mergeCell ref="M63:M64"/>
    <mergeCell ref="N63:N64"/>
    <mergeCell ref="I63:I64"/>
    <mergeCell ref="I77:I78"/>
    <mergeCell ref="I81:I82"/>
    <mergeCell ref="I105:I106"/>
    <mergeCell ref="M115:M116"/>
    <mergeCell ref="M74:M75"/>
    <mergeCell ref="K74:K75"/>
    <mergeCell ref="J74:J75"/>
    <mergeCell ref="M79:M80"/>
    <mergeCell ref="N105:N106"/>
    <mergeCell ref="N111:N112"/>
    <mergeCell ref="N113:N114"/>
    <mergeCell ref="N115:N116"/>
    <mergeCell ref="K91:K92"/>
    <mergeCell ref="K105:K106"/>
    <mergeCell ref="J91:J92"/>
    <mergeCell ref="J113:J114"/>
    <mergeCell ref="J115:J116"/>
    <mergeCell ref="J105:J106"/>
  </mergeCells>
  <phoneticPr fontId="9" type="noConversion"/>
  <pageMargins left="0.19685039370078741" right="0.19685039370078741" top="0.51181102362204722" bottom="0.19685039370078741" header="0" footer="0"/>
  <pageSetup paperSize="9" scale="4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fitToPage="1"/>
  </sheetPr>
  <dimension ref="A1:XEZ78"/>
  <sheetViews>
    <sheetView zoomScale="85" zoomScaleNormal="85" workbookViewId="0">
      <pane ySplit="5" topLeftCell="A45" activePane="bottomLeft" state="frozen"/>
      <selection activeCell="C27" sqref="C27:C28"/>
      <selection pane="bottomLeft" activeCell="A76" sqref="A76:XFD78"/>
    </sheetView>
  </sheetViews>
  <sheetFormatPr defaultColWidth="9.140625" defaultRowHeight="15" x14ac:dyDescent="0.25"/>
  <cols>
    <col min="1" max="1" width="3.140625" style="10" customWidth="1"/>
    <col min="2" max="2" width="17.140625" style="39" customWidth="1"/>
    <col min="3" max="3" width="60" style="127" customWidth="1"/>
    <col min="4" max="4" width="9.140625" style="127" customWidth="1"/>
    <col min="5" max="6" width="15.85546875" style="127" customWidth="1"/>
    <col min="7" max="7" width="13" style="127" customWidth="1"/>
    <col min="8" max="8" width="14" style="127" customWidth="1"/>
    <col min="9" max="9" width="12.28515625" style="107" customWidth="1"/>
    <col min="10" max="10" width="43.7109375" style="127" customWidth="1"/>
    <col min="11" max="11" width="12" style="291" customWidth="1"/>
    <col min="12" max="12" width="15.5703125" style="291" customWidth="1"/>
    <col min="13" max="14" width="12" style="291" customWidth="1"/>
    <col min="15" max="15" width="50.28515625" style="609" customWidth="1"/>
    <col min="16" max="16" width="7.7109375" style="1206" customWidth="1"/>
    <col min="17" max="16384" width="9.140625" style="10"/>
  </cols>
  <sheetData>
    <row r="1" spans="2:16 16380:16380" ht="37.5" customHeight="1" x14ac:dyDescent="0.25">
      <c r="B1" s="1123" t="s">
        <v>934</v>
      </c>
      <c r="C1" s="1123"/>
      <c r="D1" s="1123"/>
      <c r="E1" s="1123"/>
      <c r="F1" s="1123"/>
      <c r="G1" s="1123"/>
      <c r="H1" s="1123"/>
      <c r="I1" s="1123"/>
      <c r="J1" s="1123"/>
      <c r="K1" s="1123"/>
      <c r="L1" s="1123"/>
      <c r="M1" s="1123"/>
      <c r="N1" s="1123"/>
      <c r="O1" s="591"/>
    </row>
    <row r="2" spans="2:16 16380:16380" ht="19.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523"/>
      <c r="L2" s="523"/>
      <c r="M2" s="548"/>
      <c r="N2" s="548"/>
      <c r="O2" s="591"/>
    </row>
    <row r="3" spans="2:16 16380:16380" ht="42.75" customHeight="1" x14ac:dyDescent="0.2">
      <c r="B3" s="1063" t="s">
        <v>27</v>
      </c>
      <c r="C3" s="1066" t="s">
        <v>68</v>
      </c>
      <c r="D3" s="1067"/>
      <c r="E3" s="822" t="s">
        <v>1091</v>
      </c>
      <c r="F3" s="1074" t="s">
        <v>945</v>
      </c>
      <c r="G3" s="1058" t="s">
        <v>266</v>
      </c>
      <c r="H3" s="1058" t="s">
        <v>856</v>
      </c>
      <c r="I3" s="1058" t="s">
        <v>174</v>
      </c>
      <c r="J3" s="1058" t="s">
        <v>697</v>
      </c>
      <c r="K3" s="1120" t="s">
        <v>863</v>
      </c>
      <c r="L3" s="1121"/>
      <c r="M3" s="1121"/>
      <c r="N3" s="1122"/>
      <c r="O3" s="787" t="s">
        <v>946</v>
      </c>
      <c r="P3" s="1197" t="s">
        <v>1096</v>
      </c>
    </row>
    <row r="4" spans="2:16 16380:16380" ht="35.25" customHeight="1" x14ac:dyDescent="0.2">
      <c r="B4" s="1064"/>
      <c r="C4" s="1068"/>
      <c r="D4" s="1069"/>
      <c r="E4" s="823"/>
      <c r="F4" s="1075"/>
      <c r="G4" s="1059"/>
      <c r="H4" s="1059"/>
      <c r="I4" s="1059"/>
      <c r="J4" s="1059"/>
      <c r="K4" s="553" t="s">
        <v>455</v>
      </c>
      <c r="L4" s="1213" t="s">
        <v>1097</v>
      </c>
      <c r="M4" s="553" t="s">
        <v>456</v>
      </c>
      <c r="N4" s="553" t="s">
        <v>721</v>
      </c>
      <c r="O4" s="788"/>
      <c r="P4" s="1197"/>
    </row>
    <row r="5" spans="2:16 16380:16380" ht="37.5" customHeight="1" x14ac:dyDescent="0.2">
      <c r="B5" s="1065"/>
      <c r="C5" s="1070"/>
      <c r="D5" s="1071"/>
      <c r="E5" s="824"/>
      <c r="F5" s="1076"/>
      <c r="G5" s="1060"/>
      <c r="H5" s="1060"/>
      <c r="I5" s="1060"/>
      <c r="J5" s="1060"/>
      <c r="K5" s="554"/>
      <c r="L5" s="1214"/>
      <c r="M5" s="554"/>
      <c r="N5" s="554"/>
      <c r="O5" s="789"/>
      <c r="P5" s="1197"/>
    </row>
    <row r="6" spans="2:16 16380:16380" s="127" customFormat="1" ht="51.75" customHeight="1" x14ac:dyDescent="0.25">
      <c r="B6" s="491" t="s">
        <v>30</v>
      </c>
      <c r="C6" s="486" t="s">
        <v>298</v>
      </c>
      <c r="D6" s="487"/>
      <c r="E6" s="481">
        <f t="shared" ref="E6:H6" si="0">SUM(E7:E11)</f>
        <v>271.60000000000002</v>
      </c>
      <c r="F6" s="481">
        <f t="shared" si="0"/>
        <v>271.7</v>
      </c>
      <c r="G6" s="481">
        <f t="shared" si="0"/>
        <v>270</v>
      </c>
      <c r="H6" s="481">
        <f t="shared" si="0"/>
        <v>270</v>
      </c>
      <c r="I6" s="490"/>
      <c r="J6" s="486" t="s">
        <v>681</v>
      </c>
      <c r="K6" s="488" t="s">
        <v>682</v>
      </c>
      <c r="L6" s="488" t="s">
        <v>682</v>
      </c>
      <c r="M6" s="488" t="s">
        <v>682</v>
      </c>
      <c r="N6" s="488" t="s">
        <v>682</v>
      </c>
      <c r="O6" s="592"/>
      <c r="P6" s="1207"/>
    </row>
    <row r="7" spans="2:16 16380:16380" ht="28.5" customHeight="1" x14ac:dyDescent="0.2">
      <c r="B7" s="1072" t="s">
        <v>31</v>
      </c>
      <c r="C7" s="1050" t="s">
        <v>428</v>
      </c>
      <c r="D7" s="260" t="s">
        <v>297</v>
      </c>
      <c r="E7" s="119">
        <v>146.9</v>
      </c>
      <c r="F7" s="119">
        <v>146.9</v>
      </c>
      <c r="G7" s="119">
        <v>145</v>
      </c>
      <c r="H7" s="119">
        <v>145</v>
      </c>
      <c r="I7" s="45" t="s">
        <v>256</v>
      </c>
      <c r="J7" s="1061" t="s">
        <v>925</v>
      </c>
      <c r="K7" s="1104" t="s">
        <v>464</v>
      </c>
      <c r="L7" s="1104" t="s">
        <v>464</v>
      </c>
      <c r="M7" s="1104" t="s">
        <v>465</v>
      </c>
      <c r="N7" s="1104" t="s">
        <v>557</v>
      </c>
      <c r="O7" s="1112"/>
      <c r="P7" s="1208">
        <f>+F7-E7</f>
        <v>0</v>
      </c>
      <c r="XEZ7" s="10">
        <f>SUM(A7:XEY7)</f>
        <v>583.79999999999995</v>
      </c>
    </row>
    <row r="8" spans="2:16 16380:16380" ht="25.5" customHeight="1" x14ac:dyDescent="0.2">
      <c r="B8" s="1073"/>
      <c r="C8" s="1052"/>
      <c r="D8" s="260" t="s">
        <v>3</v>
      </c>
      <c r="E8" s="119">
        <v>14</v>
      </c>
      <c r="F8" s="119">
        <v>14.1</v>
      </c>
      <c r="G8" s="119">
        <v>14</v>
      </c>
      <c r="H8" s="119">
        <v>14</v>
      </c>
      <c r="I8" s="47"/>
      <c r="J8" s="1062"/>
      <c r="K8" s="1106"/>
      <c r="L8" s="1106"/>
      <c r="M8" s="1106"/>
      <c r="N8" s="1106"/>
      <c r="O8" s="1113"/>
      <c r="P8" s="1208">
        <f t="shared" ref="P8:P61" si="1">+F8-E8</f>
        <v>9.9999999999999645E-2</v>
      </c>
    </row>
    <row r="9" spans="2:16 16380:16380" ht="54.75" customHeight="1" x14ac:dyDescent="0.2">
      <c r="B9" s="13" t="s">
        <v>387</v>
      </c>
      <c r="C9" s="188" t="s">
        <v>429</v>
      </c>
      <c r="D9" s="260" t="s">
        <v>297</v>
      </c>
      <c r="E9" s="119">
        <v>17</v>
      </c>
      <c r="F9" s="119">
        <v>17</v>
      </c>
      <c r="G9" s="119">
        <v>17</v>
      </c>
      <c r="H9" s="119">
        <v>17</v>
      </c>
      <c r="I9" s="46" t="s">
        <v>250</v>
      </c>
      <c r="J9" s="277" t="s">
        <v>458</v>
      </c>
      <c r="K9" s="278" t="s">
        <v>462</v>
      </c>
      <c r="L9" s="278" t="s">
        <v>462</v>
      </c>
      <c r="M9" s="278" t="s">
        <v>462</v>
      </c>
      <c r="N9" s="278" t="s">
        <v>462</v>
      </c>
      <c r="O9" s="593"/>
      <c r="P9" s="1208">
        <f t="shared" si="1"/>
        <v>0</v>
      </c>
    </row>
    <row r="10" spans="2:16 16380:16380" ht="41.25" customHeight="1" x14ac:dyDescent="0.2">
      <c r="B10" s="13" t="s">
        <v>36</v>
      </c>
      <c r="C10" s="188" t="s">
        <v>300</v>
      </c>
      <c r="D10" s="260" t="s">
        <v>297</v>
      </c>
      <c r="E10" s="120">
        <v>63.7</v>
      </c>
      <c r="F10" s="120">
        <v>63.7</v>
      </c>
      <c r="G10" s="120">
        <v>64</v>
      </c>
      <c r="H10" s="121">
        <v>64</v>
      </c>
      <c r="I10" s="112" t="s">
        <v>257</v>
      </c>
      <c r="J10" s="277" t="s">
        <v>459</v>
      </c>
      <c r="K10" s="279" t="s">
        <v>461</v>
      </c>
      <c r="L10" s="279" t="s">
        <v>461</v>
      </c>
      <c r="M10" s="279" t="s">
        <v>461</v>
      </c>
      <c r="N10" s="279" t="s">
        <v>461</v>
      </c>
      <c r="O10" s="593"/>
      <c r="P10" s="1208">
        <f t="shared" si="1"/>
        <v>0</v>
      </c>
    </row>
    <row r="11" spans="2:16 16380:16380" ht="38.25" customHeight="1" x14ac:dyDescent="0.2">
      <c r="B11" s="13" t="s">
        <v>37</v>
      </c>
      <c r="C11" s="280" t="s">
        <v>301</v>
      </c>
      <c r="D11" s="260" t="s">
        <v>297</v>
      </c>
      <c r="E11" s="120">
        <v>30</v>
      </c>
      <c r="F11" s="120">
        <v>30</v>
      </c>
      <c r="G11" s="120">
        <v>30</v>
      </c>
      <c r="H11" s="120">
        <v>30</v>
      </c>
      <c r="I11" s="45" t="s">
        <v>252</v>
      </c>
      <c r="J11" s="183" t="s">
        <v>460</v>
      </c>
      <c r="K11" s="141" t="s">
        <v>793</v>
      </c>
      <c r="L11" s="141" t="s">
        <v>793</v>
      </c>
      <c r="M11" s="141" t="s">
        <v>793</v>
      </c>
      <c r="N11" s="141" t="s">
        <v>793</v>
      </c>
      <c r="O11" s="547"/>
      <c r="P11" s="1208">
        <f t="shared" si="1"/>
        <v>0</v>
      </c>
    </row>
    <row r="12" spans="2:16 16380:16380" s="127" customFormat="1" ht="48" customHeight="1" x14ac:dyDescent="0.25">
      <c r="B12" s="491" t="s">
        <v>38</v>
      </c>
      <c r="C12" s="486" t="s">
        <v>278</v>
      </c>
      <c r="D12" s="487"/>
      <c r="E12" s="481">
        <f t="shared" ref="E12:H12" si="2">SUM(E13:E19)</f>
        <v>3422.1</v>
      </c>
      <c r="F12" s="481">
        <f t="shared" si="2"/>
        <v>3394.1</v>
      </c>
      <c r="G12" s="481">
        <f t="shared" si="2"/>
        <v>3750</v>
      </c>
      <c r="H12" s="481">
        <f t="shared" si="2"/>
        <v>4380</v>
      </c>
      <c r="I12" s="490"/>
      <c r="J12" s="486" t="s">
        <v>713</v>
      </c>
      <c r="K12" s="488" t="s">
        <v>714</v>
      </c>
      <c r="L12" s="488" t="s">
        <v>714</v>
      </c>
      <c r="M12" s="488" t="s">
        <v>714</v>
      </c>
      <c r="N12" s="488" t="s">
        <v>714</v>
      </c>
      <c r="O12" s="592"/>
      <c r="P12" s="1208">
        <f t="shared" si="1"/>
        <v>-28</v>
      </c>
    </row>
    <row r="13" spans="2:16 16380:16380" ht="38.25" customHeight="1" x14ac:dyDescent="0.2">
      <c r="B13" s="1080" t="s">
        <v>43</v>
      </c>
      <c r="C13" s="1077" t="s">
        <v>127</v>
      </c>
      <c r="D13" s="260" t="s">
        <v>0</v>
      </c>
      <c r="E13" s="121">
        <v>2481.9</v>
      </c>
      <c r="F13" s="121">
        <v>2481.9</v>
      </c>
      <c r="G13" s="121">
        <v>2400</v>
      </c>
      <c r="H13" s="121">
        <v>2400</v>
      </c>
      <c r="I13" s="739" t="s">
        <v>253</v>
      </c>
      <c r="J13" s="1050" t="s">
        <v>467</v>
      </c>
      <c r="K13" s="1104" t="s">
        <v>495</v>
      </c>
      <c r="L13" s="1104" t="s">
        <v>495</v>
      </c>
      <c r="M13" s="1104" t="s">
        <v>495</v>
      </c>
      <c r="N13" s="1104" t="s">
        <v>495</v>
      </c>
      <c r="O13" s="1114"/>
      <c r="P13" s="1208">
        <f t="shared" si="1"/>
        <v>0</v>
      </c>
    </row>
    <row r="14" spans="2:16 16380:16380" ht="35.25" customHeight="1" x14ac:dyDescent="0.2">
      <c r="B14" s="1081"/>
      <c r="C14" s="1078"/>
      <c r="D14" s="260" t="s">
        <v>0</v>
      </c>
      <c r="E14" s="121">
        <v>450</v>
      </c>
      <c r="F14" s="121">
        <v>450</v>
      </c>
      <c r="G14" s="121">
        <v>450</v>
      </c>
      <c r="H14" s="121">
        <v>450</v>
      </c>
      <c r="I14" s="740"/>
      <c r="J14" s="1052"/>
      <c r="K14" s="1106"/>
      <c r="L14" s="1106"/>
      <c r="M14" s="1106"/>
      <c r="N14" s="1106"/>
      <c r="O14" s="1115"/>
      <c r="P14" s="1208">
        <f t="shared" si="1"/>
        <v>0</v>
      </c>
    </row>
    <row r="15" spans="2:16 16380:16380" ht="32.25" customHeight="1" x14ac:dyDescent="0.2">
      <c r="B15" s="1072" t="s">
        <v>388</v>
      </c>
      <c r="C15" s="1050" t="s">
        <v>886</v>
      </c>
      <c r="D15" s="260" t="s">
        <v>0</v>
      </c>
      <c r="E15" s="119">
        <v>10</v>
      </c>
      <c r="F15" s="667">
        <v>0</v>
      </c>
      <c r="G15" s="120">
        <v>80</v>
      </c>
      <c r="H15" s="545">
        <v>150</v>
      </c>
      <c r="I15" s="739" t="s">
        <v>249</v>
      </c>
      <c r="J15" s="1050" t="s">
        <v>873</v>
      </c>
      <c r="K15" s="1102"/>
      <c r="L15" s="1102"/>
      <c r="M15" s="1102"/>
      <c r="N15" s="1107" t="s">
        <v>619</v>
      </c>
      <c r="O15" s="1114" t="s">
        <v>1076</v>
      </c>
      <c r="P15" s="1208">
        <f t="shared" si="1"/>
        <v>-10</v>
      </c>
    </row>
    <row r="16" spans="2:16 16380:16380" ht="36" customHeight="1" x14ac:dyDescent="0.2">
      <c r="B16" s="1073"/>
      <c r="C16" s="1052"/>
      <c r="D16" s="260" t="s">
        <v>1</v>
      </c>
      <c r="E16" s="119">
        <v>60</v>
      </c>
      <c r="F16" s="667">
        <v>0</v>
      </c>
      <c r="G16" s="120">
        <v>400</v>
      </c>
      <c r="H16" s="545">
        <v>960</v>
      </c>
      <c r="I16" s="740"/>
      <c r="J16" s="1052"/>
      <c r="K16" s="1103"/>
      <c r="L16" s="1103"/>
      <c r="M16" s="1103"/>
      <c r="N16" s="1108"/>
      <c r="O16" s="1115"/>
      <c r="P16" s="1208">
        <f t="shared" si="1"/>
        <v>-60</v>
      </c>
    </row>
    <row r="17" spans="1:16" ht="25.5" customHeight="1" x14ac:dyDescent="0.2">
      <c r="B17" s="1072" t="s">
        <v>943</v>
      </c>
      <c r="C17" s="1077" t="s">
        <v>430</v>
      </c>
      <c r="D17" s="260" t="s">
        <v>0</v>
      </c>
      <c r="E17" s="121">
        <v>264.2</v>
      </c>
      <c r="F17" s="121">
        <v>264.2</v>
      </c>
      <c r="G17" s="121">
        <v>270</v>
      </c>
      <c r="H17" s="121">
        <v>270</v>
      </c>
      <c r="I17" s="46" t="s">
        <v>249</v>
      </c>
      <c r="J17" s="1050" t="s">
        <v>468</v>
      </c>
      <c r="K17" s="1104" t="s">
        <v>469</v>
      </c>
      <c r="L17" s="1104" t="s">
        <v>469</v>
      </c>
      <c r="M17" s="1104" t="s">
        <v>470</v>
      </c>
      <c r="N17" s="1104" t="s">
        <v>470</v>
      </c>
      <c r="O17" s="1114" t="s">
        <v>1077</v>
      </c>
      <c r="P17" s="1208">
        <f t="shared" si="1"/>
        <v>0</v>
      </c>
    </row>
    <row r="18" spans="1:16" ht="30" customHeight="1" x14ac:dyDescent="0.2">
      <c r="B18" s="1095"/>
      <c r="C18" s="1079"/>
      <c r="D18" s="187" t="s">
        <v>297</v>
      </c>
      <c r="E18" s="120">
        <v>126</v>
      </c>
      <c r="F18" s="623">
        <v>168</v>
      </c>
      <c r="G18" s="120">
        <v>120</v>
      </c>
      <c r="H18" s="120">
        <v>120</v>
      </c>
      <c r="I18" s="105"/>
      <c r="J18" s="1051"/>
      <c r="K18" s="1105"/>
      <c r="L18" s="1105"/>
      <c r="M18" s="1105"/>
      <c r="N18" s="1105"/>
      <c r="O18" s="1116"/>
      <c r="P18" s="1208">
        <f t="shared" si="1"/>
        <v>42</v>
      </c>
    </row>
    <row r="19" spans="1:16" ht="29.25" customHeight="1" x14ac:dyDescent="0.2">
      <c r="B19" s="1073"/>
      <c r="C19" s="1078"/>
      <c r="D19" s="260" t="s">
        <v>3</v>
      </c>
      <c r="E19" s="121">
        <v>30</v>
      </c>
      <c r="F19" s="121">
        <v>30</v>
      </c>
      <c r="G19" s="121">
        <v>30</v>
      </c>
      <c r="H19" s="121">
        <v>30</v>
      </c>
      <c r="I19" s="47"/>
      <c r="J19" s="1052"/>
      <c r="K19" s="1106"/>
      <c r="L19" s="1106"/>
      <c r="M19" s="1106"/>
      <c r="N19" s="1106"/>
      <c r="O19" s="1115"/>
      <c r="P19" s="1208">
        <f t="shared" si="1"/>
        <v>0</v>
      </c>
    </row>
    <row r="20" spans="1:16" s="146" customFormat="1" ht="39" customHeight="1" x14ac:dyDescent="0.2">
      <c r="B20" s="491" t="s">
        <v>389</v>
      </c>
      <c r="C20" s="483" t="s">
        <v>279</v>
      </c>
      <c r="D20" s="484"/>
      <c r="E20" s="481">
        <f t="shared" ref="E20:H20" si="3">SUM(E21:E29)</f>
        <v>5324.9999999999991</v>
      </c>
      <c r="F20" s="481">
        <f t="shared" si="3"/>
        <v>5578.1999999999989</v>
      </c>
      <c r="G20" s="481">
        <f t="shared" si="3"/>
        <v>6688.5999999999995</v>
      </c>
      <c r="H20" s="481">
        <f t="shared" si="3"/>
        <v>6119.5999999999995</v>
      </c>
      <c r="I20" s="492"/>
      <c r="J20" s="483" t="s">
        <v>683</v>
      </c>
      <c r="K20" s="485" t="s">
        <v>684</v>
      </c>
      <c r="L20" s="485" t="s">
        <v>684</v>
      </c>
      <c r="M20" s="485" t="s">
        <v>684</v>
      </c>
      <c r="N20" s="485" t="s">
        <v>684</v>
      </c>
      <c r="O20" s="594"/>
      <c r="P20" s="1208">
        <f t="shared" si="1"/>
        <v>253.19999999999982</v>
      </c>
    </row>
    <row r="21" spans="1:16" ht="31.5" customHeight="1" x14ac:dyDescent="0.2">
      <c r="B21" s="1072" t="s">
        <v>45</v>
      </c>
      <c r="C21" s="1077" t="s">
        <v>128</v>
      </c>
      <c r="D21" s="190" t="s">
        <v>0</v>
      </c>
      <c r="E21" s="120">
        <f>4547.4+10</f>
        <v>4557.3999999999996</v>
      </c>
      <c r="F21" s="545">
        <f>4547.4+10+208</f>
        <v>4765.3999999999996</v>
      </c>
      <c r="G21" s="120">
        <v>5100</v>
      </c>
      <c r="H21" s="120">
        <v>5250</v>
      </c>
      <c r="I21" s="45" t="s">
        <v>255</v>
      </c>
      <c r="J21" s="1085" t="s">
        <v>758</v>
      </c>
      <c r="K21" s="1091" t="s">
        <v>759</v>
      </c>
      <c r="L21" s="1091" t="s">
        <v>759</v>
      </c>
      <c r="M21" s="1091" t="s">
        <v>759</v>
      </c>
      <c r="N21" s="1091" t="s">
        <v>759</v>
      </c>
      <c r="O21" s="1117"/>
      <c r="P21" s="1208">
        <f t="shared" si="1"/>
        <v>208</v>
      </c>
    </row>
    <row r="22" spans="1:16" ht="27" customHeight="1" x14ac:dyDescent="0.2">
      <c r="B22" s="1073"/>
      <c r="C22" s="1078"/>
      <c r="D22" s="190" t="s">
        <v>4</v>
      </c>
      <c r="E22" s="120">
        <v>16.899999999999999</v>
      </c>
      <c r="F22" s="120">
        <v>16.899999999999999</v>
      </c>
      <c r="G22" s="120">
        <v>16.899999999999999</v>
      </c>
      <c r="H22" s="120">
        <v>16.899999999999999</v>
      </c>
      <c r="I22" s="47"/>
      <c r="J22" s="1086"/>
      <c r="K22" s="1092"/>
      <c r="L22" s="1092"/>
      <c r="M22" s="1092"/>
      <c r="N22" s="1092"/>
      <c r="O22" s="1119"/>
      <c r="P22" s="1208">
        <f t="shared" si="1"/>
        <v>0</v>
      </c>
    </row>
    <row r="23" spans="1:16" ht="51" customHeight="1" x14ac:dyDescent="0.2">
      <c r="B23" s="13" t="s">
        <v>46</v>
      </c>
      <c r="C23" s="190" t="s">
        <v>447</v>
      </c>
      <c r="D23" s="190" t="s">
        <v>0</v>
      </c>
      <c r="E23" s="120">
        <v>0</v>
      </c>
      <c r="F23" s="120">
        <v>0</v>
      </c>
      <c r="G23" s="120">
        <v>75</v>
      </c>
      <c r="H23" s="120">
        <v>75</v>
      </c>
      <c r="I23" s="47"/>
      <c r="J23" s="190" t="s">
        <v>497</v>
      </c>
      <c r="K23" s="281"/>
      <c r="L23" s="281"/>
      <c r="M23" s="141" t="s">
        <v>559</v>
      </c>
      <c r="N23" s="141" t="s">
        <v>559</v>
      </c>
      <c r="O23" s="596"/>
      <c r="P23" s="1208">
        <f t="shared" si="1"/>
        <v>0</v>
      </c>
    </row>
    <row r="24" spans="1:16" ht="45.75" customHeight="1" x14ac:dyDescent="0.2">
      <c r="B24" s="13" t="s">
        <v>47</v>
      </c>
      <c r="C24" s="282" t="s">
        <v>277</v>
      </c>
      <c r="D24" s="189" t="s">
        <v>0</v>
      </c>
      <c r="E24" s="121">
        <v>26.7</v>
      </c>
      <c r="F24" s="121">
        <v>26.7</v>
      </c>
      <c r="G24" s="121">
        <v>26.7</v>
      </c>
      <c r="H24" s="121">
        <v>26.7</v>
      </c>
      <c r="I24" s="112" t="s">
        <v>254</v>
      </c>
      <c r="J24" s="282" t="s">
        <v>471</v>
      </c>
      <c r="K24" s="279" t="s">
        <v>470</v>
      </c>
      <c r="L24" s="279" t="s">
        <v>470</v>
      </c>
      <c r="M24" s="279" t="s">
        <v>470</v>
      </c>
      <c r="N24" s="279" t="s">
        <v>470</v>
      </c>
      <c r="O24" s="597"/>
      <c r="P24" s="1208">
        <f t="shared" si="1"/>
        <v>0</v>
      </c>
    </row>
    <row r="25" spans="1:16" ht="60.75" customHeight="1" x14ac:dyDescent="0.2">
      <c r="A25" s="13"/>
      <c r="B25" s="13" t="s">
        <v>44</v>
      </c>
      <c r="C25" s="191" t="s">
        <v>129</v>
      </c>
      <c r="D25" s="120" t="s">
        <v>0</v>
      </c>
      <c r="E25" s="120">
        <v>50</v>
      </c>
      <c r="F25" s="120">
        <v>50</v>
      </c>
      <c r="G25" s="120">
        <v>50</v>
      </c>
      <c r="H25" s="555">
        <v>50</v>
      </c>
      <c r="I25" s="24"/>
      <c r="J25" s="191" t="s">
        <v>473</v>
      </c>
      <c r="K25" s="278">
        <v>4</v>
      </c>
      <c r="L25" s="278">
        <v>4</v>
      </c>
      <c r="M25" s="278">
        <v>4</v>
      </c>
      <c r="N25" s="278">
        <v>4</v>
      </c>
      <c r="O25" s="598"/>
      <c r="P25" s="1208">
        <f t="shared" si="1"/>
        <v>0</v>
      </c>
    </row>
    <row r="26" spans="1:16" ht="33.75" customHeight="1" x14ac:dyDescent="0.2">
      <c r="B26" s="1080" t="s">
        <v>48</v>
      </c>
      <c r="C26" s="1077" t="s">
        <v>431</v>
      </c>
      <c r="D26" s="187" t="s">
        <v>297</v>
      </c>
      <c r="E26" s="119">
        <v>110.5</v>
      </c>
      <c r="F26" s="663">
        <v>155.69999999999999</v>
      </c>
      <c r="G26" s="119">
        <v>115</v>
      </c>
      <c r="H26" s="119">
        <v>115</v>
      </c>
      <c r="I26" s="46" t="s">
        <v>201</v>
      </c>
      <c r="J26" s="1061" t="s">
        <v>472</v>
      </c>
      <c r="K26" s="1093">
        <v>11</v>
      </c>
      <c r="L26" s="1093">
        <v>11</v>
      </c>
      <c r="M26" s="1093">
        <v>11</v>
      </c>
      <c r="N26" s="1093">
        <v>11</v>
      </c>
      <c r="O26" s="1124" t="s">
        <v>1078</v>
      </c>
      <c r="P26" s="1208">
        <f t="shared" si="1"/>
        <v>45.199999999999989</v>
      </c>
    </row>
    <row r="27" spans="1:16" ht="29.25" customHeight="1" x14ac:dyDescent="0.2">
      <c r="B27" s="1081"/>
      <c r="C27" s="1078"/>
      <c r="D27" s="191" t="s">
        <v>0</v>
      </c>
      <c r="E27" s="121">
        <v>163.5</v>
      </c>
      <c r="F27" s="121">
        <v>163.5</v>
      </c>
      <c r="G27" s="121">
        <v>145</v>
      </c>
      <c r="H27" s="121">
        <v>145</v>
      </c>
      <c r="I27" s="556" t="s">
        <v>201</v>
      </c>
      <c r="J27" s="1062"/>
      <c r="K27" s="1094"/>
      <c r="L27" s="1094"/>
      <c r="M27" s="1094"/>
      <c r="N27" s="1094"/>
      <c r="O27" s="1125"/>
      <c r="P27" s="1208">
        <f t="shared" si="1"/>
        <v>0</v>
      </c>
    </row>
    <row r="28" spans="1:16" ht="40.5" customHeight="1" x14ac:dyDescent="0.2">
      <c r="B28" s="1072" t="s">
        <v>392</v>
      </c>
      <c r="C28" s="1061" t="s">
        <v>874</v>
      </c>
      <c r="D28" s="260" t="s">
        <v>0</v>
      </c>
      <c r="E28" s="120">
        <v>60</v>
      </c>
      <c r="F28" s="120">
        <v>60</v>
      </c>
      <c r="G28" s="120">
        <v>174</v>
      </c>
      <c r="H28" s="120">
        <v>267</v>
      </c>
      <c r="I28" s="1083" t="s">
        <v>201</v>
      </c>
      <c r="J28" s="1061" t="s">
        <v>474</v>
      </c>
      <c r="K28" s="1093"/>
      <c r="L28" s="1093"/>
      <c r="M28" s="1107"/>
      <c r="N28" s="1107" t="s">
        <v>475</v>
      </c>
      <c r="O28" s="1112"/>
      <c r="P28" s="1208">
        <f t="shared" si="1"/>
        <v>0</v>
      </c>
    </row>
    <row r="29" spans="1:16" ht="32.25" customHeight="1" x14ac:dyDescent="0.2">
      <c r="B29" s="1073"/>
      <c r="C29" s="1062"/>
      <c r="D29" s="191" t="s">
        <v>1</v>
      </c>
      <c r="E29" s="120">
        <v>340</v>
      </c>
      <c r="F29" s="120">
        <v>340</v>
      </c>
      <c r="G29" s="120">
        <v>986</v>
      </c>
      <c r="H29" s="120">
        <v>174</v>
      </c>
      <c r="I29" s="1084"/>
      <c r="J29" s="1062"/>
      <c r="K29" s="1094"/>
      <c r="L29" s="1094"/>
      <c r="M29" s="1108"/>
      <c r="N29" s="1108"/>
      <c r="O29" s="1113"/>
      <c r="P29" s="1208">
        <f t="shared" si="1"/>
        <v>0</v>
      </c>
    </row>
    <row r="30" spans="1:16" s="40" customFormat="1" ht="50.25" customHeight="1" x14ac:dyDescent="0.25">
      <c r="B30" s="489" t="s">
        <v>712</v>
      </c>
      <c r="C30" s="480" t="s">
        <v>299</v>
      </c>
      <c r="D30" s="480"/>
      <c r="E30" s="481">
        <f t="shared" ref="E30:H30" si="4">SUM(E31:E33)</f>
        <v>257.54000000000002</v>
      </c>
      <c r="F30" s="481">
        <f t="shared" si="4"/>
        <v>237.54000000000002</v>
      </c>
      <c r="G30" s="481">
        <f t="shared" si="4"/>
        <v>265</v>
      </c>
      <c r="H30" s="481">
        <f t="shared" si="4"/>
        <v>265</v>
      </c>
      <c r="I30" s="490"/>
      <c r="J30" s="480" t="s">
        <v>699</v>
      </c>
      <c r="K30" s="482" t="s">
        <v>470</v>
      </c>
      <c r="L30" s="482" t="s">
        <v>470</v>
      </c>
      <c r="M30" s="482" t="s">
        <v>470</v>
      </c>
      <c r="N30" s="482" t="s">
        <v>470</v>
      </c>
      <c r="O30" s="599"/>
      <c r="P30" s="1208">
        <f t="shared" si="1"/>
        <v>-20</v>
      </c>
    </row>
    <row r="31" spans="1:16" s="30" customFormat="1" ht="72" customHeight="1" x14ac:dyDescent="0.2">
      <c r="B31" s="60" t="s">
        <v>52</v>
      </c>
      <c r="C31" s="283" t="s">
        <v>432</v>
      </c>
      <c r="D31" s="191" t="s">
        <v>0</v>
      </c>
      <c r="E31" s="119">
        <v>110</v>
      </c>
      <c r="F31" s="119">
        <v>110</v>
      </c>
      <c r="G31" s="119">
        <v>135</v>
      </c>
      <c r="H31" s="119">
        <v>135</v>
      </c>
      <c r="I31" s="46" t="s">
        <v>258</v>
      </c>
      <c r="J31" s="187" t="s">
        <v>477</v>
      </c>
      <c r="K31" s="284" t="s">
        <v>478</v>
      </c>
      <c r="L31" s="284" t="s">
        <v>478</v>
      </c>
      <c r="M31" s="284" t="s">
        <v>478</v>
      </c>
      <c r="N31" s="284" t="s">
        <v>478</v>
      </c>
      <c r="O31" s="593"/>
      <c r="P31" s="1208">
        <f t="shared" si="1"/>
        <v>0</v>
      </c>
    </row>
    <row r="32" spans="1:16" s="30" customFormat="1" ht="43.5" customHeight="1" x14ac:dyDescent="0.2">
      <c r="A32" s="8"/>
      <c r="B32" s="60" t="s">
        <v>54</v>
      </c>
      <c r="C32" s="285" t="s">
        <v>433</v>
      </c>
      <c r="D32" s="285" t="s">
        <v>0</v>
      </c>
      <c r="E32" s="119">
        <v>70</v>
      </c>
      <c r="F32" s="122">
        <v>50</v>
      </c>
      <c r="G32" s="119">
        <v>50</v>
      </c>
      <c r="H32" s="119">
        <v>50</v>
      </c>
      <c r="I32" s="46" t="s">
        <v>251</v>
      </c>
      <c r="J32" s="260" t="s">
        <v>479</v>
      </c>
      <c r="K32" s="286" t="s">
        <v>480</v>
      </c>
      <c r="L32" s="286" t="s">
        <v>480</v>
      </c>
      <c r="M32" s="286" t="s">
        <v>480</v>
      </c>
      <c r="N32" s="286" t="s">
        <v>480</v>
      </c>
      <c r="O32" s="600"/>
      <c r="P32" s="1208">
        <f t="shared" si="1"/>
        <v>-20</v>
      </c>
    </row>
    <row r="33" spans="2:16" s="30" customFormat="1" ht="51" customHeight="1" x14ac:dyDescent="0.2">
      <c r="B33" s="23" t="s">
        <v>55</v>
      </c>
      <c r="C33" s="182" t="s">
        <v>156</v>
      </c>
      <c r="D33" s="182" t="s">
        <v>0</v>
      </c>
      <c r="E33" s="120">
        <v>77.540000000000006</v>
      </c>
      <c r="F33" s="120">
        <v>77.540000000000006</v>
      </c>
      <c r="G33" s="120">
        <v>80</v>
      </c>
      <c r="H33" s="120">
        <v>80</v>
      </c>
      <c r="I33" s="46" t="s">
        <v>251</v>
      </c>
      <c r="J33" s="186" t="s">
        <v>875</v>
      </c>
      <c r="K33" s="286" t="s">
        <v>685</v>
      </c>
      <c r="L33" s="286" t="s">
        <v>685</v>
      </c>
      <c r="M33" s="286" t="s">
        <v>685</v>
      </c>
      <c r="N33" s="286" t="s">
        <v>685</v>
      </c>
      <c r="O33" s="601"/>
      <c r="P33" s="1208">
        <f t="shared" si="1"/>
        <v>0</v>
      </c>
    </row>
    <row r="34" spans="2:16" s="40" customFormat="1" ht="41.25" customHeight="1" x14ac:dyDescent="0.25">
      <c r="B34" s="489" t="s">
        <v>390</v>
      </c>
      <c r="C34" s="480" t="s">
        <v>131</v>
      </c>
      <c r="D34" s="480"/>
      <c r="E34" s="481">
        <f>SUM(E35:E43)</f>
        <v>4885</v>
      </c>
      <c r="F34" s="481">
        <f t="shared" ref="F34:H34" si="5">SUM(F35:F43)</f>
        <v>4885</v>
      </c>
      <c r="G34" s="481">
        <f t="shared" si="5"/>
        <v>7785</v>
      </c>
      <c r="H34" s="481">
        <f t="shared" si="5"/>
        <v>4012</v>
      </c>
      <c r="I34" s="490"/>
      <c r="J34" s="480" t="s">
        <v>492</v>
      </c>
      <c r="K34" s="482" t="s">
        <v>491</v>
      </c>
      <c r="L34" s="482" t="s">
        <v>491</v>
      </c>
      <c r="M34" s="482" t="s">
        <v>491</v>
      </c>
      <c r="N34" s="482" t="s">
        <v>491</v>
      </c>
      <c r="O34" s="599"/>
      <c r="P34" s="1208">
        <f t="shared" si="1"/>
        <v>0</v>
      </c>
    </row>
    <row r="35" spans="2:16" s="30" customFormat="1" ht="15.75" customHeight="1" x14ac:dyDescent="0.2">
      <c r="B35" s="1096" t="s">
        <v>393</v>
      </c>
      <c r="C35" s="1085" t="s">
        <v>876</v>
      </c>
      <c r="D35" s="182" t="s">
        <v>0</v>
      </c>
      <c r="E35" s="119">
        <v>0</v>
      </c>
      <c r="F35" s="119">
        <v>0</v>
      </c>
      <c r="G35" s="119">
        <v>2160</v>
      </c>
      <c r="H35" s="119">
        <v>1336</v>
      </c>
      <c r="I35" s="739" t="s">
        <v>264</v>
      </c>
      <c r="J35" s="1085" t="s">
        <v>490</v>
      </c>
      <c r="K35" s="1087">
        <v>30</v>
      </c>
      <c r="L35" s="1087">
        <v>30</v>
      </c>
      <c r="M35" s="1087">
        <v>65</v>
      </c>
      <c r="N35" s="1087">
        <v>85</v>
      </c>
      <c r="O35" s="1117"/>
      <c r="P35" s="1208">
        <f t="shared" si="1"/>
        <v>0</v>
      </c>
    </row>
    <row r="36" spans="2:16" s="30" customFormat="1" ht="15.75" customHeight="1" x14ac:dyDescent="0.2">
      <c r="B36" s="1097"/>
      <c r="C36" s="1090"/>
      <c r="D36" s="182" t="s">
        <v>2</v>
      </c>
      <c r="E36" s="119">
        <v>1000</v>
      </c>
      <c r="F36" s="119">
        <v>1000</v>
      </c>
      <c r="G36" s="119">
        <v>0</v>
      </c>
      <c r="H36" s="119">
        <v>0</v>
      </c>
      <c r="I36" s="1082"/>
      <c r="J36" s="1090"/>
      <c r="K36" s="1088"/>
      <c r="L36" s="1088"/>
      <c r="M36" s="1088"/>
      <c r="N36" s="1088"/>
      <c r="O36" s="1118"/>
      <c r="P36" s="1208">
        <f t="shared" si="1"/>
        <v>0</v>
      </c>
    </row>
    <row r="37" spans="2:16" s="30" customFormat="1" ht="15.75" customHeight="1" x14ac:dyDescent="0.2">
      <c r="B37" s="1097"/>
      <c r="C37" s="1090"/>
      <c r="D37" s="182" t="s">
        <v>1</v>
      </c>
      <c r="E37" s="119">
        <v>1890</v>
      </c>
      <c r="F37" s="119">
        <v>1890</v>
      </c>
      <c r="G37" s="119">
        <v>2990</v>
      </c>
      <c r="H37" s="119">
        <v>1285</v>
      </c>
      <c r="I37" s="1082"/>
      <c r="J37" s="1090"/>
      <c r="K37" s="1088"/>
      <c r="L37" s="1088"/>
      <c r="M37" s="1088"/>
      <c r="N37" s="1088"/>
      <c r="O37" s="1118"/>
      <c r="P37" s="1208">
        <f t="shared" si="1"/>
        <v>0</v>
      </c>
    </row>
    <row r="38" spans="2:16" s="30" customFormat="1" ht="15.75" customHeight="1" x14ac:dyDescent="0.2">
      <c r="B38" s="1098"/>
      <c r="C38" s="1086"/>
      <c r="D38" s="182" t="s">
        <v>155</v>
      </c>
      <c r="E38" s="119">
        <v>1420</v>
      </c>
      <c r="F38" s="119">
        <v>1420</v>
      </c>
      <c r="G38" s="119">
        <v>2160</v>
      </c>
      <c r="H38" s="119">
        <v>916</v>
      </c>
      <c r="I38" s="740"/>
      <c r="J38" s="1086"/>
      <c r="K38" s="1089"/>
      <c r="L38" s="1089"/>
      <c r="M38" s="1089"/>
      <c r="N38" s="1089"/>
      <c r="O38" s="1119"/>
      <c r="P38" s="1208">
        <f t="shared" si="1"/>
        <v>0</v>
      </c>
    </row>
    <row r="39" spans="2:16" s="30" customFormat="1" ht="36" customHeight="1" x14ac:dyDescent="0.2">
      <c r="B39" s="60" t="s">
        <v>391</v>
      </c>
      <c r="C39" s="182" t="s">
        <v>436</v>
      </c>
      <c r="D39" s="182" t="s">
        <v>0</v>
      </c>
      <c r="E39" s="119">
        <v>20</v>
      </c>
      <c r="F39" s="119">
        <v>20</v>
      </c>
      <c r="G39" s="119">
        <v>20</v>
      </c>
      <c r="H39" s="119">
        <v>20</v>
      </c>
      <c r="I39" s="45" t="s">
        <v>252</v>
      </c>
      <c r="J39" s="183" t="s">
        <v>481</v>
      </c>
      <c r="K39" s="142" t="s">
        <v>482</v>
      </c>
      <c r="L39" s="142" t="s">
        <v>482</v>
      </c>
      <c r="M39" s="142" t="s">
        <v>482</v>
      </c>
      <c r="N39" s="142" t="s">
        <v>482</v>
      </c>
      <c r="O39" s="547"/>
      <c r="P39" s="1208">
        <f t="shared" si="1"/>
        <v>0</v>
      </c>
    </row>
    <row r="40" spans="2:16" s="30" customFormat="1" ht="54" customHeight="1" x14ac:dyDescent="0.2">
      <c r="B40" s="70" t="s">
        <v>61</v>
      </c>
      <c r="C40" s="182" t="s">
        <v>453</v>
      </c>
      <c r="D40" s="182" t="s">
        <v>0</v>
      </c>
      <c r="E40" s="122">
        <v>30</v>
      </c>
      <c r="F40" s="122">
        <v>30</v>
      </c>
      <c r="G40" s="122">
        <v>30</v>
      </c>
      <c r="H40" s="122">
        <v>30</v>
      </c>
      <c r="I40" s="112" t="s">
        <v>264</v>
      </c>
      <c r="J40" s="182" t="s">
        <v>485</v>
      </c>
      <c r="K40" s="142">
        <v>1</v>
      </c>
      <c r="L40" s="142">
        <v>1</v>
      </c>
      <c r="M40" s="142">
        <v>1</v>
      </c>
      <c r="N40" s="142">
        <v>1</v>
      </c>
      <c r="O40" s="549"/>
      <c r="P40" s="1208">
        <f t="shared" si="1"/>
        <v>0</v>
      </c>
    </row>
    <row r="41" spans="2:16" s="30" customFormat="1" ht="48" customHeight="1" x14ac:dyDescent="0.2">
      <c r="B41" s="60" t="s">
        <v>62</v>
      </c>
      <c r="C41" s="182" t="s">
        <v>755</v>
      </c>
      <c r="D41" s="182" t="s">
        <v>0</v>
      </c>
      <c r="E41" s="122">
        <v>400</v>
      </c>
      <c r="F41" s="122">
        <v>400</v>
      </c>
      <c r="G41" s="122">
        <v>300</v>
      </c>
      <c r="H41" s="122">
        <v>300</v>
      </c>
      <c r="I41" s="46" t="s">
        <v>264</v>
      </c>
      <c r="J41" s="182" t="s">
        <v>481</v>
      </c>
      <c r="K41" s="142" t="s">
        <v>836</v>
      </c>
      <c r="L41" s="142" t="s">
        <v>836</v>
      </c>
      <c r="M41" s="142" t="s">
        <v>835</v>
      </c>
      <c r="N41" s="142" t="s">
        <v>835</v>
      </c>
      <c r="O41" s="549"/>
      <c r="P41" s="1208">
        <f t="shared" si="1"/>
        <v>0</v>
      </c>
    </row>
    <row r="42" spans="2:16" s="30" customFormat="1" ht="41.25" customHeight="1" x14ac:dyDescent="0.2">
      <c r="B42" s="60" t="s">
        <v>63</v>
      </c>
      <c r="C42" s="182" t="s">
        <v>434</v>
      </c>
      <c r="D42" s="182" t="s">
        <v>0</v>
      </c>
      <c r="E42" s="119">
        <v>95</v>
      </c>
      <c r="F42" s="119">
        <v>95</v>
      </c>
      <c r="G42" s="119">
        <v>95</v>
      </c>
      <c r="H42" s="119">
        <v>95</v>
      </c>
      <c r="I42" s="46" t="s">
        <v>264</v>
      </c>
      <c r="J42" s="182" t="s">
        <v>483</v>
      </c>
      <c r="K42" s="142" t="s">
        <v>480</v>
      </c>
      <c r="L42" s="142" t="s">
        <v>480</v>
      </c>
      <c r="M42" s="142" t="s">
        <v>480</v>
      </c>
      <c r="N42" s="142" t="s">
        <v>480</v>
      </c>
      <c r="O42" s="549"/>
      <c r="P42" s="1208">
        <f t="shared" si="1"/>
        <v>0</v>
      </c>
    </row>
    <row r="43" spans="2:16" s="30" customFormat="1" ht="48.75" customHeight="1" x14ac:dyDescent="0.2">
      <c r="B43" s="60" t="s">
        <v>756</v>
      </c>
      <c r="C43" s="182" t="s">
        <v>435</v>
      </c>
      <c r="D43" s="182" t="s">
        <v>0</v>
      </c>
      <c r="E43" s="119">
        <v>30</v>
      </c>
      <c r="F43" s="119">
        <v>30</v>
      </c>
      <c r="G43" s="119">
        <v>30</v>
      </c>
      <c r="H43" s="119">
        <v>30</v>
      </c>
      <c r="I43" s="46" t="s">
        <v>264</v>
      </c>
      <c r="J43" s="182" t="s">
        <v>484</v>
      </c>
      <c r="K43" s="142" t="s">
        <v>480</v>
      </c>
      <c r="L43" s="142" t="s">
        <v>480</v>
      </c>
      <c r="M43" s="142" t="s">
        <v>480</v>
      </c>
      <c r="N43" s="142" t="s">
        <v>480</v>
      </c>
      <c r="O43" s="549"/>
      <c r="P43" s="1208">
        <f t="shared" si="1"/>
        <v>0</v>
      </c>
    </row>
    <row r="44" spans="2:16" s="40" customFormat="1" ht="59.25" customHeight="1" x14ac:dyDescent="0.25">
      <c r="B44" s="489" t="s">
        <v>394</v>
      </c>
      <c r="C44" s="480" t="s">
        <v>306</v>
      </c>
      <c r="D44" s="480"/>
      <c r="E44" s="481">
        <f t="shared" ref="E44:H44" si="6">SUM(E45:E46)</f>
        <v>1092.2</v>
      </c>
      <c r="F44" s="481">
        <f t="shared" si="6"/>
        <v>1242.2</v>
      </c>
      <c r="G44" s="481">
        <f t="shared" si="6"/>
        <v>150</v>
      </c>
      <c r="H44" s="481">
        <f t="shared" si="6"/>
        <v>150</v>
      </c>
      <c r="I44" s="490"/>
      <c r="J44" s="480" t="s">
        <v>680</v>
      </c>
      <c r="K44" s="482" t="s">
        <v>829</v>
      </c>
      <c r="L44" s="482" t="s">
        <v>829</v>
      </c>
      <c r="M44" s="482" t="s">
        <v>939</v>
      </c>
      <c r="N44" s="482" t="s">
        <v>940</v>
      </c>
      <c r="O44" s="599"/>
      <c r="P44" s="1208">
        <f t="shared" si="1"/>
        <v>150</v>
      </c>
    </row>
    <row r="45" spans="2:16" s="30" customFormat="1" ht="43.5" customHeight="1" x14ac:dyDescent="0.2">
      <c r="B45" s="23" t="s">
        <v>395</v>
      </c>
      <c r="C45" s="182" t="s">
        <v>437</v>
      </c>
      <c r="D45" s="182" t="s">
        <v>0</v>
      </c>
      <c r="E45" s="119">
        <v>100</v>
      </c>
      <c r="F45" s="663">
        <f>100+150</f>
        <v>250</v>
      </c>
      <c r="G45" s="119">
        <v>150</v>
      </c>
      <c r="H45" s="119">
        <v>150</v>
      </c>
      <c r="I45" s="556" t="s">
        <v>263</v>
      </c>
      <c r="J45" s="182" t="s">
        <v>996</v>
      </c>
      <c r="K45" s="141" t="s">
        <v>757</v>
      </c>
      <c r="L45" s="141" t="s">
        <v>1063</v>
      </c>
      <c r="M45" s="141" t="s">
        <v>757</v>
      </c>
      <c r="N45" s="141" t="s">
        <v>757</v>
      </c>
      <c r="O45" s="549" t="s">
        <v>1062</v>
      </c>
      <c r="P45" s="1208">
        <f t="shared" si="1"/>
        <v>150</v>
      </c>
    </row>
    <row r="46" spans="2:16" s="30" customFormat="1" ht="39.75" customHeight="1" x14ac:dyDescent="0.2">
      <c r="B46" s="23" t="s">
        <v>881</v>
      </c>
      <c r="C46" s="184" t="s">
        <v>292</v>
      </c>
      <c r="D46" s="182" t="s">
        <v>2</v>
      </c>
      <c r="E46" s="119">
        <v>992.2</v>
      </c>
      <c r="F46" s="119">
        <v>992.2</v>
      </c>
      <c r="G46" s="119">
        <v>0</v>
      </c>
      <c r="H46" s="119">
        <v>0</v>
      </c>
      <c r="I46" s="556" t="s">
        <v>263</v>
      </c>
      <c r="J46" s="184" t="s">
        <v>489</v>
      </c>
      <c r="K46" s="287" t="s">
        <v>486</v>
      </c>
      <c r="L46" s="287" t="s">
        <v>486</v>
      </c>
      <c r="M46" s="288"/>
      <c r="N46" s="288"/>
      <c r="O46" s="595"/>
      <c r="P46" s="1208">
        <f t="shared" si="1"/>
        <v>0</v>
      </c>
    </row>
    <row r="47" spans="2:16" s="40" customFormat="1" ht="47.25" customHeight="1" x14ac:dyDescent="0.25">
      <c r="B47" s="489" t="s">
        <v>396</v>
      </c>
      <c r="C47" s="480" t="s">
        <v>132</v>
      </c>
      <c r="D47" s="480"/>
      <c r="E47" s="481">
        <f>SUM(E48:E55)</f>
        <v>7120</v>
      </c>
      <c r="F47" s="481">
        <f t="shared" ref="F47:H47" si="7">SUM(F48:F55)</f>
        <v>7106.5</v>
      </c>
      <c r="G47" s="481">
        <f t="shared" si="7"/>
        <v>9078</v>
      </c>
      <c r="H47" s="481">
        <f t="shared" si="7"/>
        <v>11378</v>
      </c>
      <c r="I47" s="490"/>
      <c r="J47" s="480" t="s">
        <v>688</v>
      </c>
      <c r="K47" s="482" t="s">
        <v>877</v>
      </c>
      <c r="L47" s="482" t="s">
        <v>877</v>
      </c>
      <c r="M47" s="482" t="s">
        <v>878</v>
      </c>
      <c r="N47" s="482" t="s">
        <v>879</v>
      </c>
      <c r="O47" s="599"/>
      <c r="P47" s="1208">
        <f t="shared" si="1"/>
        <v>-13.5</v>
      </c>
    </row>
    <row r="48" spans="2:16" s="30" customFormat="1" ht="66.75" customHeight="1" x14ac:dyDescent="0.2">
      <c r="B48" s="13" t="s">
        <v>397</v>
      </c>
      <c r="C48" s="192" t="s">
        <v>304</v>
      </c>
      <c r="D48" s="191" t="s">
        <v>302</v>
      </c>
      <c r="E48" s="119">
        <v>3200</v>
      </c>
      <c r="F48" s="546">
        <v>3471.8</v>
      </c>
      <c r="G48" s="119">
        <v>3200</v>
      </c>
      <c r="H48" s="119">
        <v>3200</v>
      </c>
      <c r="I48" s="46" t="s">
        <v>260</v>
      </c>
      <c r="J48" s="183" t="s">
        <v>493</v>
      </c>
      <c r="K48" s="143" t="s">
        <v>494</v>
      </c>
      <c r="L48" s="143" t="s">
        <v>494</v>
      </c>
      <c r="M48" s="143" t="s">
        <v>494</v>
      </c>
      <c r="N48" s="143" t="s">
        <v>494</v>
      </c>
      <c r="O48" s="547" t="s">
        <v>1053</v>
      </c>
      <c r="P48" s="1208">
        <f t="shared" si="1"/>
        <v>271.80000000000018</v>
      </c>
    </row>
    <row r="49" spans="2:16" s="30" customFormat="1" ht="39.75" customHeight="1" x14ac:dyDescent="0.2">
      <c r="B49" s="13" t="s">
        <v>398</v>
      </c>
      <c r="C49" s="289" t="s">
        <v>314</v>
      </c>
      <c r="D49" s="120" t="s">
        <v>0</v>
      </c>
      <c r="E49" s="119">
        <v>230</v>
      </c>
      <c r="F49" s="119">
        <v>230</v>
      </c>
      <c r="G49" s="119">
        <v>230</v>
      </c>
      <c r="H49" s="119">
        <v>230</v>
      </c>
      <c r="I49" s="46" t="s">
        <v>255</v>
      </c>
      <c r="J49" s="191" t="s">
        <v>686</v>
      </c>
      <c r="K49" s="290" t="s">
        <v>687</v>
      </c>
      <c r="L49" s="290" t="s">
        <v>687</v>
      </c>
      <c r="M49" s="290" t="s">
        <v>687</v>
      </c>
      <c r="N49" s="290" t="s">
        <v>687</v>
      </c>
      <c r="O49" s="598"/>
      <c r="P49" s="1208">
        <f t="shared" si="1"/>
        <v>0</v>
      </c>
    </row>
    <row r="50" spans="2:16" s="7" customFormat="1" ht="27.75" customHeight="1" x14ac:dyDescent="0.2">
      <c r="B50" s="1072" t="s">
        <v>880</v>
      </c>
      <c r="C50" s="1085" t="s">
        <v>991</v>
      </c>
      <c r="D50" s="182" t="s">
        <v>0</v>
      </c>
      <c r="E50" s="124">
        <v>90</v>
      </c>
      <c r="F50" s="676">
        <v>0</v>
      </c>
      <c r="G50" s="124">
        <v>450</v>
      </c>
      <c r="H50" s="706">
        <v>800</v>
      </c>
      <c r="I50" s="65" t="s">
        <v>259</v>
      </c>
      <c r="J50" s="1085" t="s">
        <v>488</v>
      </c>
      <c r="K50" s="1087"/>
      <c r="L50" s="1087"/>
      <c r="M50" s="1099"/>
      <c r="N50" s="1099" t="s">
        <v>475</v>
      </c>
      <c r="O50" s="1109" t="s">
        <v>1054</v>
      </c>
      <c r="P50" s="1208">
        <f t="shared" si="1"/>
        <v>-90</v>
      </c>
    </row>
    <row r="51" spans="2:16" s="7" customFormat="1" ht="47.25" customHeight="1" x14ac:dyDescent="0.2">
      <c r="B51" s="1095"/>
      <c r="C51" s="1090"/>
      <c r="D51" s="182" t="s">
        <v>2</v>
      </c>
      <c r="E51" s="124">
        <v>150</v>
      </c>
      <c r="F51" s="124">
        <v>150</v>
      </c>
      <c r="G51" s="124">
        <v>0</v>
      </c>
      <c r="H51" s="124">
        <v>0</v>
      </c>
      <c r="I51" s="106"/>
      <c r="J51" s="1090"/>
      <c r="K51" s="1088"/>
      <c r="L51" s="1088"/>
      <c r="M51" s="1100"/>
      <c r="N51" s="1100"/>
      <c r="O51" s="1110"/>
      <c r="P51" s="1208">
        <f t="shared" si="1"/>
        <v>0</v>
      </c>
    </row>
    <row r="52" spans="2:16" s="7" customFormat="1" ht="52.5" customHeight="1" x14ac:dyDescent="0.2">
      <c r="B52" s="1073"/>
      <c r="C52" s="1086"/>
      <c r="D52" s="182" t="s">
        <v>1</v>
      </c>
      <c r="E52" s="124">
        <v>1360</v>
      </c>
      <c r="F52" s="705">
        <v>860</v>
      </c>
      <c r="G52" s="124">
        <v>2550</v>
      </c>
      <c r="H52" s="707">
        <v>4500</v>
      </c>
      <c r="I52" s="106" t="s">
        <v>261</v>
      </c>
      <c r="J52" s="1086"/>
      <c r="K52" s="1089"/>
      <c r="L52" s="1089"/>
      <c r="M52" s="1101"/>
      <c r="N52" s="1101"/>
      <c r="O52" s="1111"/>
      <c r="P52" s="1208">
        <f t="shared" si="1"/>
        <v>-500</v>
      </c>
    </row>
    <row r="53" spans="2:16" s="30" customFormat="1" ht="33.75" customHeight="1" x14ac:dyDescent="0.2">
      <c r="B53" s="13" t="s">
        <v>399</v>
      </c>
      <c r="C53" s="182" t="s">
        <v>140</v>
      </c>
      <c r="D53" s="182" t="s">
        <v>0</v>
      </c>
      <c r="E53" s="120">
        <v>120</v>
      </c>
      <c r="F53" s="120">
        <v>120</v>
      </c>
      <c r="G53" s="120">
        <v>150</v>
      </c>
      <c r="H53" s="120">
        <v>150</v>
      </c>
      <c r="I53" s="46" t="s">
        <v>262</v>
      </c>
      <c r="J53" s="182" t="s">
        <v>487</v>
      </c>
      <c r="K53" s="142">
        <v>2</v>
      </c>
      <c r="L53" s="142">
        <v>2</v>
      </c>
      <c r="M53" s="142">
        <v>3</v>
      </c>
      <c r="N53" s="142">
        <v>3</v>
      </c>
      <c r="O53" s="593"/>
      <c r="P53" s="1208">
        <f t="shared" si="1"/>
        <v>0</v>
      </c>
    </row>
    <row r="54" spans="2:16" s="7" customFormat="1" ht="39" customHeight="1" x14ac:dyDescent="0.2">
      <c r="B54" s="13" t="s">
        <v>947</v>
      </c>
      <c r="C54" s="184" t="s">
        <v>948</v>
      </c>
      <c r="D54" s="182" t="s">
        <v>0</v>
      </c>
      <c r="E54" s="120">
        <v>1770</v>
      </c>
      <c r="F54" s="120">
        <v>1770</v>
      </c>
      <c r="G54" s="120">
        <v>2198</v>
      </c>
      <c r="H54" s="120">
        <v>2198</v>
      </c>
      <c r="I54" s="106"/>
      <c r="J54" s="184" t="s">
        <v>949</v>
      </c>
      <c r="K54" s="522">
        <v>29</v>
      </c>
      <c r="L54" s="522">
        <v>29</v>
      </c>
      <c r="M54" s="522">
        <v>29</v>
      </c>
      <c r="N54" s="522">
        <v>29</v>
      </c>
      <c r="O54" s="602"/>
      <c r="P54" s="1208">
        <f t="shared" si="1"/>
        <v>0</v>
      </c>
    </row>
    <row r="55" spans="2:16" s="30" customFormat="1" ht="37.5" customHeight="1" x14ac:dyDescent="0.2">
      <c r="B55" s="13" t="s">
        <v>950</v>
      </c>
      <c r="C55" s="182" t="s">
        <v>951</v>
      </c>
      <c r="D55" s="182" t="s">
        <v>0</v>
      </c>
      <c r="E55" s="120">
        <v>200</v>
      </c>
      <c r="F55" s="545">
        <v>504.7</v>
      </c>
      <c r="G55" s="120">
        <v>300</v>
      </c>
      <c r="H55" s="120">
        <v>300</v>
      </c>
      <c r="I55" s="46" t="s">
        <v>952</v>
      </c>
      <c r="J55" s="186" t="s">
        <v>953</v>
      </c>
      <c r="K55" s="142">
        <v>100</v>
      </c>
      <c r="L55" s="142">
        <v>100</v>
      </c>
      <c r="M55" s="142">
        <v>100</v>
      </c>
      <c r="N55" s="142">
        <v>100</v>
      </c>
      <c r="O55" s="547" t="s">
        <v>1055</v>
      </c>
      <c r="P55" s="1208">
        <f t="shared" si="1"/>
        <v>304.7</v>
      </c>
    </row>
    <row r="56" spans="2:16" s="40" customFormat="1" ht="52.5" customHeight="1" x14ac:dyDescent="0.25">
      <c r="B56" s="489" t="s">
        <v>954</v>
      </c>
      <c r="C56" s="480" t="s">
        <v>955</v>
      </c>
      <c r="D56" s="480"/>
      <c r="E56" s="481">
        <f>SUM(E57:E61)</f>
        <v>1347.6</v>
      </c>
      <c r="F56" s="481">
        <f t="shared" ref="F56:H56" si="8">SUM(F57:F61)</f>
        <v>1297.5999999999999</v>
      </c>
      <c r="G56" s="481">
        <f t="shared" si="8"/>
        <v>1880</v>
      </c>
      <c r="H56" s="481">
        <f t="shared" si="8"/>
        <v>1880</v>
      </c>
      <c r="I56" s="490"/>
      <c r="J56" s="480" t="s">
        <v>956</v>
      </c>
      <c r="K56" s="482" t="s">
        <v>957</v>
      </c>
      <c r="L56" s="482" t="s">
        <v>957</v>
      </c>
      <c r="M56" s="482" t="s">
        <v>957</v>
      </c>
      <c r="N56" s="482" t="s">
        <v>957</v>
      </c>
      <c r="O56" s="604"/>
      <c r="P56" s="1208">
        <f t="shared" si="1"/>
        <v>-50</v>
      </c>
    </row>
    <row r="57" spans="2:16" s="30" customFormat="1" ht="35.25" customHeight="1" x14ac:dyDescent="0.2">
      <c r="B57" s="66" t="s">
        <v>958</v>
      </c>
      <c r="C57" s="183" t="s">
        <v>959</v>
      </c>
      <c r="D57" s="182" t="s">
        <v>0</v>
      </c>
      <c r="E57" s="119">
        <v>55</v>
      </c>
      <c r="F57" s="119">
        <v>55</v>
      </c>
      <c r="G57" s="119">
        <v>500</v>
      </c>
      <c r="H57" s="119">
        <v>500</v>
      </c>
      <c r="I57" s="46" t="s">
        <v>952</v>
      </c>
      <c r="J57" s="183" t="s">
        <v>960</v>
      </c>
      <c r="K57" s="521" t="s">
        <v>961</v>
      </c>
      <c r="L57" s="521" t="s">
        <v>961</v>
      </c>
      <c r="M57" s="521">
        <v>1</v>
      </c>
      <c r="N57" s="521" t="s">
        <v>511</v>
      </c>
      <c r="O57" s="603"/>
      <c r="P57" s="1208">
        <f t="shared" si="1"/>
        <v>0</v>
      </c>
    </row>
    <row r="58" spans="2:16" s="30" customFormat="1" ht="27.75" customHeight="1" x14ac:dyDescent="0.2">
      <c r="B58" s="13" t="s">
        <v>962</v>
      </c>
      <c r="C58" s="182" t="s">
        <v>963</v>
      </c>
      <c r="D58" s="182" t="s">
        <v>0</v>
      </c>
      <c r="E58" s="119">
        <v>80</v>
      </c>
      <c r="F58" s="119">
        <v>80</v>
      </c>
      <c r="G58" s="119">
        <v>80</v>
      </c>
      <c r="H58" s="119">
        <v>80</v>
      </c>
      <c r="I58" s="46" t="s">
        <v>952</v>
      </c>
      <c r="J58" s="187" t="s">
        <v>964</v>
      </c>
      <c r="K58" s="141">
        <v>5</v>
      </c>
      <c r="L58" s="141">
        <v>5</v>
      </c>
      <c r="M58" s="141">
        <v>5</v>
      </c>
      <c r="N58" s="141" t="s">
        <v>466</v>
      </c>
      <c r="O58" s="603"/>
      <c r="P58" s="1208">
        <f t="shared" si="1"/>
        <v>0</v>
      </c>
    </row>
    <row r="59" spans="2:16" s="30" customFormat="1" ht="69.75" customHeight="1" x14ac:dyDescent="0.2">
      <c r="B59" s="31" t="s">
        <v>965</v>
      </c>
      <c r="C59" s="183" t="s">
        <v>966</v>
      </c>
      <c r="D59" s="182" t="s">
        <v>0</v>
      </c>
      <c r="E59" s="120">
        <v>1000</v>
      </c>
      <c r="F59" s="120">
        <v>1000</v>
      </c>
      <c r="G59" s="119">
        <v>1000</v>
      </c>
      <c r="H59" s="119">
        <v>1000</v>
      </c>
      <c r="I59" s="45" t="s">
        <v>967</v>
      </c>
      <c r="J59" s="183" t="s">
        <v>968</v>
      </c>
      <c r="K59" s="521" t="s">
        <v>957</v>
      </c>
      <c r="L59" s="521" t="s">
        <v>957</v>
      </c>
      <c r="M59" s="521" t="s">
        <v>957</v>
      </c>
      <c r="N59" s="521" t="s">
        <v>957</v>
      </c>
      <c r="O59" s="605"/>
      <c r="P59" s="1208">
        <f t="shared" si="1"/>
        <v>0</v>
      </c>
    </row>
    <row r="60" spans="2:16" s="30" customFormat="1" ht="63.75" customHeight="1" x14ac:dyDescent="0.2">
      <c r="B60" s="23" t="s">
        <v>969</v>
      </c>
      <c r="C60" s="285" t="s">
        <v>970</v>
      </c>
      <c r="D60" s="285" t="s">
        <v>0</v>
      </c>
      <c r="E60" s="119">
        <v>112.6</v>
      </c>
      <c r="F60" s="119">
        <v>112.6</v>
      </c>
      <c r="G60" s="119">
        <v>100</v>
      </c>
      <c r="H60" s="119">
        <v>100</v>
      </c>
      <c r="I60" s="46" t="s">
        <v>251</v>
      </c>
      <c r="J60" s="260" t="s">
        <v>971</v>
      </c>
      <c r="K60" s="141" t="s">
        <v>495</v>
      </c>
      <c r="L60" s="141" t="s">
        <v>495</v>
      </c>
      <c r="M60" s="141" t="s">
        <v>495</v>
      </c>
      <c r="N60" s="141" t="s">
        <v>495</v>
      </c>
      <c r="O60" s="603"/>
      <c r="P60" s="1208">
        <f t="shared" si="1"/>
        <v>0</v>
      </c>
    </row>
    <row r="61" spans="2:16" s="30" customFormat="1" ht="52.5" customHeight="1" x14ac:dyDescent="0.2">
      <c r="B61" s="13" t="s">
        <v>972</v>
      </c>
      <c r="C61" s="182" t="s">
        <v>973</v>
      </c>
      <c r="D61" s="182" t="s">
        <v>0</v>
      </c>
      <c r="E61" s="120">
        <v>100</v>
      </c>
      <c r="F61" s="545">
        <f>100-50</f>
        <v>50</v>
      </c>
      <c r="G61" s="120">
        <v>200</v>
      </c>
      <c r="H61" s="120">
        <v>200</v>
      </c>
      <c r="I61" s="46"/>
      <c r="J61" s="260" t="s">
        <v>971</v>
      </c>
      <c r="K61" s="141" t="s">
        <v>466</v>
      </c>
      <c r="L61" s="141" t="s">
        <v>466</v>
      </c>
      <c r="M61" s="141" t="s">
        <v>466</v>
      </c>
      <c r="N61" s="141" t="s">
        <v>466</v>
      </c>
      <c r="O61" s="603" t="s">
        <v>1056</v>
      </c>
      <c r="P61" s="1208">
        <f t="shared" si="1"/>
        <v>-50</v>
      </c>
    </row>
    <row r="62" spans="2:16" s="524" customFormat="1" ht="39" customHeight="1" x14ac:dyDescent="0.25">
      <c r="B62" s="1053" t="s">
        <v>169</v>
      </c>
      <c r="C62" s="1053"/>
      <c r="D62" s="1054"/>
      <c r="E62" s="479">
        <f>+E56+E47+E44+E34+E30+E20+E12+E6</f>
        <v>23721.039999999997</v>
      </c>
      <c r="F62" s="479">
        <f t="shared" ref="F62:H62" si="9">+F56+F47+F44+F34+F30+F20+F12+F6</f>
        <v>24012.84</v>
      </c>
      <c r="G62" s="479">
        <f t="shared" si="9"/>
        <v>29866.6</v>
      </c>
      <c r="H62" s="479">
        <f t="shared" si="9"/>
        <v>28454.6</v>
      </c>
      <c r="I62" s="691">
        <f>+F62-E62</f>
        <v>291.80000000000291</v>
      </c>
      <c r="J62" s="692"/>
      <c r="K62" s="525"/>
      <c r="L62" s="525"/>
      <c r="M62" s="557"/>
      <c r="N62" s="557"/>
      <c r="O62" s="606"/>
      <c r="P62" s="1209"/>
    </row>
    <row r="63" spans="2:16" s="30" customFormat="1" ht="17.25" customHeight="1" x14ac:dyDescent="0.2">
      <c r="B63" s="1055"/>
      <c r="C63" s="1056"/>
      <c r="D63" s="1057"/>
      <c r="E63" s="690">
        <f>+E62-E64-E72</f>
        <v>-7.2759576141834259E-12</v>
      </c>
      <c r="F63" s="690">
        <f t="shared" ref="F63:H63" si="10">+F62-F64-F72</f>
        <v>-3.637978807091713E-12</v>
      </c>
      <c r="G63" s="690">
        <f t="shared" si="10"/>
        <v>-3.637978807091713E-12</v>
      </c>
      <c r="H63" s="690">
        <f t="shared" si="10"/>
        <v>-3.637978807091713E-12</v>
      </c>
      <c r="I63" s="1212">
        <f t="shared" ref="I63:I74" si="11">+F63-E63</f>
        <v>3.637978807091713E-12</v>
      </c>
      <c r="J63" s="692"/>
      <c r="K63" s="527"/>
      <c r="L63" s="527"/>
      <c r="O63" s="607"/>
      <c r="P63" s="1210"/>
    </row>
    <row r="64" spans="2:16" s="30" customFormat="1" ht="30" customHeight="1" x14ac:dyDescent="0.2">
      <c r="B64" s="472"/>
      <c r="C64" s="473" t="s">
        <v>143</v>
      </c>
      <c r="D64" s="473"/>
      <c r="E64" s="474">
        <f>SUM(E66:E71)</f>
        <v>22301.040000000005</v>
      </c>
      <c r="F64" s="474">
        <f t="shared" ref="F64:H64" si="12">SUM(F66:F71)</f>
        <v>22592.840000000004</v>
      </c>
      <c r="G64" s="474">
        <f t="shared" si="12"/>
        <v>27706.600000000002</v>
      </c>
      <c r="H64" s="474">
        <f t="shared" si="12"/>
        <v>27538.600000000002</v>
      </c>
      <c r="I64" s="1212">
        <f t="shared" si="11"/>
        <v>291.79999999999927</v>
      </c>
      <c r="J64" s="693"/>
      <c r="K64" s="528"/>
      <c r="L64" s="528"/>
      <c r="O64" s="607"/>
      <c r="P64" s="1210"/>
    </row>
    <row r="65" spans="2:16" s="30" customFormat="1" ht="17.25" customHeight="1" x14ac:dyDescent="0.2">
      <c r="B65" s="25"/>
      <c r="C65" s="35" t="s">
        <v>144</v>
      </c>
      <c r="D65" s="37"/>
      <c r="E65" s="38"/>
      <c r="F65" s="38"/>
      <c r="G65" s="38"/>
      <c r="H65" s="526"/>
      <c r="I65" s="1212">
        <f t="shared" si="11"/>
        <v>0</v>
      </c>
      <c r="J65" s="694"/>
      <c r="K65" s="529"/>
      <c r="L65" s="529"/>
      <c r="O65" s="607"/>
      <c r="P65" s="1210"/>
    </row>
    <row r="66" spans="2:16" s="30" customFormat="1" ht="31.5" customHeight="1" x14ac:dyDescent="0.2">
      <c r="B66" s="25"/>
      <c r="C66" s="395" t="s">
        <v>145</v>
      </c>
      <c r="D66" s="530" t="s">
        <v>0</v>
      </c>
      <c r="E66" s="38">
        <f>+E61+E60+E59+E58+E57+E55+E54+E53+E50+E49+E45+E43+E42+E41+E40+E39+E35+E33+E32+E31+E28+E27+E26+E25+E24+E23+E21+E17+E18+E15+E13+E11+E10+E9+E7+E14</f>
        <v>13247.94</v>
      </c>
      <c r="F66" s="38">
        <f t="shared" ref="F66:H66" si="13">+F61+F60+F59+F58+F57+F55+F54+F53+F50+F49+F45+F43+F42+F41+F40+F39+F35+F33+F32+F31+F28+F27+F26+F25+F24+F23+F21+F17+F18+F15+F13+F11+F10+F9+F7+F14</f>
        <v>13827.84</v>
      </c>
      <c r="G66" s="38">
        <f t="shared" si="13"/>
        <v>17519.7</v>
      </c>
      <c r="H66" s="38">
        <f t="shared" si="13"/>
        <v>17358.7</v>
      </c>
      <c r="I66" s="1212">
        <f t="shared" si="11"/>
        <v>579.89999999999964</v>
      </c>
      <c r="J66" s="694"/>
      <c r="K66" s="529"/>
      <c r="L66" s="529"/>
      <c r="O66" s="607"/>
      <c r="P66" s="1210"/>
    </row>
    <row r="67" spans="2:16" s="30" customFormat="1" ht="22.5" customHeight="1" x14ac:dyDescent="0.2">
      <c r="B67" s="25"/>
      <c r="C67" s="395" t="s">
        <v>146</v>
      </c>
      <c r="D67" s="530" t="s">
        <v>3</v>
      </c>
      <c r="E67" s="38">
        <f>+E48+E19+E8</f>
        <v>3244</v>
      </c>
      <c r="F67" s="38">
        <f t="shared" ref="F67:H67" si="14">+F48+F19+F8</f>
        <v>3515.9</v>
      </c>
      <c r="G67" s="38">
        <f t="shared" si="14"/>
        <v>3244</v>
      </c>
      <c r="H67" s="38">
        <f t="shared" si="14"/>
        <v>3244</v>
      </c>
      <c r="I67" s="1212">
        <f t="shared" si="11"/>
        <v>271.90000000000009</v>
      </c>
      <c r="J67" s="694"/>
      <c r="K67" s="529"/>
      <c r="L67" s="529"/>
      <c r="O67" s="607"/>
      <c r="P67" s="1210"/>
    </row>
    <row r="68" spans="2:16" s="30" customFormat="1" ht="21" customHeight="1" x14ac:dyDescent="0.2">
      <c r="B68" s="25"/>
      <c r="C68" s="395" t="s">
        <v>147</v>
      </c>
      <c r="D68" s="530" t="s">
        <v>4</v>
      </c>
      <c r="E68" s="38">
        <f>+E22</f>
        <v>16.899999999999999</v>
      </c>
      <c r="F68" s="38">
        <f t="shared" ref="F68:H68" si="15">+F22</f>
        <v>16.899999999999999</v>
      </c>
      <c r="G68" s="38">
        <f t="shared" si="15"/>
        <v>16.899999999999999</v>
      </c>
      <c r="H68" s="38">
        <f t="shared" si="15"/>
        <v>16.899999999999999</v>
      </c>
      <c r="I68" s="1212">
        <f t="shared" si="11"/>
        <v>0</v>
      </c>
      <c r="J68" s="694"/>
      <c r="K68" s="529"/>
      <c r="L68" s="529"/>
      <c r="O68" s="607"/>
      <c r="P68" s="1210"/>
    </row>
    <row r="69" spans="2:16" s="30" customFormat="1" ht="22.5" customHeight="1" x14ac:dyDescent="0.2">
      <c r="B69" s="25"/>
      <c r="C69" s="395" t="s">
        <v>148</v>
      </c>
      <c r="D69" s="530" t="s">
        <v>1</v>
      </c>
      <c r="E69" s="38">
        <f>+E52+E37+E29+E16</f>
        <v>3650</v>
      </c>
      <c r="F69" s="38">
        <f t="shared" ref="F69:H69" si="16">+F52+F37+F29+F16</f>
        <v>3090</v>
      </c>
      <c r="G69" s="38">
        <f t="shared" si="16"/>
        <v>6926</v>
      </c>
      <c r="H69" s="38">
        <f t="shared" si="16"/>
        <v>6919</v>
      </c>
      <c r="I69" s="1212">
        <f t="shared" si="11"/>
        <v>-560</v>
      </c>
      <c r="J69" s="694"/>
      <c r="K69" s="529"/>
      <c r="L69" s="529"/>
      <c r="O69" s="607"/>
      <c r="P69" s="1210"/>
    </row>
    <row r="70" spans="2:16" s="30" customFormat="1" ht="22.5" customHeight="1" x14ac:dyDescent="0.2">
      <c r="B70" s="25"/>
      <c r="C70" s="395" t="s">
        <v>149</v>
      </c>
      <c r="D70" s="530" t="s">
        <v>2</v>
      </c>
      <c r="E70" s="38">
        <f>+E46+E36+E51</f>
        <v>2142.1999999999998</v>
      </c>
      <c r="F70" s="38">
        <f t="shared" ref="F70:H70" si="17">+F46+F36+F51</f>
        <v>2142.1999999999998</v>
      </c>
      <c r="G70" s="38">
        <f t="shared" si="17"/>
        <v>0</v>
      </c>
      <c r="H70" s="38">
        <f t="shared" si="17"/>
        <v>0</v>
      </c>
      <c r="I70" s="1212">
        <f t="shared" si="11"/>
        <v>0</v>
      </c>
      <c r="J70" s="694"/>
      <c r="K70" s="529"/>
      <c r="L70" s="529"/>
      <c r="O70" s="607"/>
      <c r="P70" s="1210"/>
    </row>
    <row r="71" spans="2:16" s="30" customFormat="1" ht="22.5" customHeight="1" x14ac:dyDescent="0.2">
      <c r="B71" s="14"/>
      <c r="C71" s="396" t="s">
        <v>150</v>
      </c>
      <c r="D71" s="531" t="s">
        <v>154</v>
      </c>
      <c r="E71" s="38"/>
      <c r="F71" s="38"/>
      <c r="G71" s="38"/>
      <c r="H71" s="38"/>
      <c r="I71" s="1212"/>
      <c r="J71" s="694"/>
      <c r="K71" s="529"/>
      <c r="L71" s="529"/>
      <c r="O71" s="607"/>
      <c r="P71" s="1210"/>
    </row>
    <row r="72" spans="2:16" s="30" customFormat="1" ht="45.75" customHeight="1" x14ac:dyDescent="0.2">
      <c r="B72" s="475"/>
      <c r="C72" s="476" t="s">
        <v>151</v>
      </c>
      <c r="D72" s="477" t="s">
        <v>155</v>
      </c>
      <c r="E72" s="474">
        <f>+E38</f>
        <v>1420</v>
      </c>
      <c r="F72" s="474">
        <f t="shared" ref="F72:H72" si="18">+F38</f>
        <v>1420</v>
      </c>
      <c r="G72" s="474">
        <f t="shared" si="18"/>
        <v>2160</v>
      </c>
      <c r="H72" s="474">
        <f t="shared" si="18"/>
        <v>916</v>
      </c>
      <c r="I72" s="1212">
        <f t="shared" si="11"/>
        <v>0</v>
      </c>
      <c r="J72" s="695"/>
      <c r="K72" s="532"/>
      <c r="L72" s="532"/>
      <c r="O72" s="607"/>
      <c r="P72" s="1210"/>
    </row>
    <row r="73" spans="2:16" s="30" customFormat="1" ht="35.25" customHeight="1" x14ac:dyDescent="0.2">
      <c r="B73" s="404"/>
      <c r="C73" s="404" t="s">
        <v>153</v>
      </c>
      <c r="D73" s="404"/>
      <c r="E73" s="478">
        <f t="shared" ref="E73:H73" si="19">+E72+E64</f>
        <v>23721.040000000005</v>
      </c>
      <c r="F73" s="478">
        <f t="shared" si="19"/>
        <v>24012.840000000004</v>
      </c>
      <c r="G73" s="478">
        <f t="shared" si="19"/>
        <v>29866.600000000002</v>
      </c>
      <c r="H73" s="478">
        <f t="shared" si="19"/>
        <v>28454.600000000002</v>
      </c>
      <c r="I73" s="1212">
        <f t="shared" si="11"/>
        <v>291.79999999999927</v>
      </c>
      <c r="J73" s="695"/>
      <c r="K73" s="532"/>
      <c r="L73" s="532"/>
      <c r="O73" s="607"/>
      <c r="P73" s="1210"/>
    </row>
    <row r="74" spans="2:16" s="533" customFormat="1" ht="22.5" customHeight="1" x14ac:dyDescent="0.2">
      <c r="B74" s="36"/>
      <c r="C74" s="395" t="s">
        <v>152</v>
      </c>
      <c r="D74" s="35"/>
      <c r="E74" s="126">
        <f>+E37+E29+E16+E52</f>
        <v>3650</v>
      </c>
      <c r="F74" s="126">
        <f t="shared" ref="F74:H74" si="20">+F37+F29+F16+F52</f>
        <v>3090</v>
      </c>
      <c r="G74" s="126">
        <f t="shared" si="20"/>
        <v>6926</v>
      </c>
      <c r="H74" s="126">
        <f t="shared" si="20"/>
        <v>6919</v>
      </c>
      <c r="I74" s="1212">
        <f t="shared" si="11"/>
        <v>-560</v>
      </c>
      <c r="J74" s="694"/>
      <c r="K74" s="529"/>
      <c r="L74" s="529"/>
      <c r="O74" s="608"/>
      <c r="P74" s="1211"/>
    </row>
    <row r="75" spans="2:16" s="30" customFormat="1" ht="35.25" customHeight="1" x14ac:dyDescent="0.2">
      <c r="B75" s="25"/>
      <c r="C75" s="397" t="s">
        <v>173</v>
      </c>
      <c r="D75" s="534"/>
      <c r="E75" s="534">
        <f>+((E73*100)/19472.9)-100</f>
        <v>21.815651495154825</v>
      </c>
      <c r="F75" s="534">
        <v>22.1</v>
      </c>
      <c r="G75" s="534">
        <f t="shared" ref="G75:H75" si="21">+((G73*100)/19472.9)-100</f>
        <v>53.375203487924239</v>
      </c>
      <c r="H75" s="534">
        <f t="shared" si="21"/>
        <v>46.124100673243305</v>
      </c>
      <c r="I75" s="1212"/>
      <c r="J75" s="696"/>
      <c r="K75" s="535"/>
      <c r="L75" s="535"/>
      <c r="O75" s="607"/>
      <c r="P75" s="1210"/>
    </row>
    <row r="76" spans="2:16" s="1174" customFormat="1" ht="21" customHeight="1" x14ac:dyDescent="0.25">
      <c r="B76" s="1179" t="s">
        <v>1092</v>
      </c>
      <c r="C76" s="1179"/>
      <c r="D76" s="1179"/>
      <c r="E76" s="1179"/>
      <c r="F76" s="1179"/>
      <c r="G76" s="1179"/>
      <c r="H76" s="1179"/>
      <c r="I76" s="1170"/>
      <c r="J76" s="1171"/>
      <c r="K76" s="1172"/>
      <c r="L76" s="1172"/>
      <c r="M76" s="1172"/>
      <c r="N76" s="1172"/>
      <c r="O76" s="1173"/>
      <c r="P76" s="1204"/>
    </row>
    <row r="77" spans="2:16" s="1174" customFormat="1" ht="35.25" customHeight="1" x14ac:dyDescent="0.25">
      <c r="B77" s="1184" t="s">
        <v>1095</v>
      </c>
      <c r="C77" s="1185"/>
      <c r="D77" s="1180"/>
      <c r="E77" s="1180"/>
      <c r="F77" s="1180"/>
      <c r="G77" s="1180"/>
      <c r="H77" s="1186"/>
      <c r="I77" s="1170"/>
      <c r="J77" s="1171"/>
      <c r="K77" s="1172"/>
      <c r="L77" s="1172"/>
      <c r="M77" s="1172"/>
      <c r="N77" s="1172"/>
      <c r="O77" s="1173"/>
      <c r="P77" s="1204"/>
    </row>
    <row r="78" spans="2:16" s="1174" customFormat="1" ht="24.75" customHeight="1" x14ac:dyDescent="0.25">
      <c r="B78" s="1181" t="s">
        <v>1094</v>
      </c>
      <c r="C78" s="1181"/>
      <c r="D78" s="1181"/>
      <c r="E78" s="1187"/>
      <c r="F78" s="1188"/>
      <c r="G78" s="1188"/>
      <c r="H78" s="1188"/>
      <c r="I78" s="1175"/>
      <c r="J78" s="1176"/>
      <c r="K78" s="1177"/>
      <c r="L78" s="1177"/>
      <c r="M78" s="1177"/>
      <c r="N78" s="1177"/>
      <c r="O78" s="1178"/>
      <c r="P78" s="1204"/>
    </row>
  </sheetData>
  <mergeCells count="92">
    <mergeCell ref="P3:P5"/>
    <mergeCell ref="B76:H76"/>
    <mergeCell ref="L4:L5"/>
    <mergeCell ref="O3:O5"/>
    <mergeCell ref="B1:N1"/>
    <mergeCell ref="O21:O22"/>
    <mergeCell ref="O26:O27"/>
    <mergeCell ref="O28:O29"/>
    <mergeCell ref="B15:B16"/>
    <mergeCell ref="C15:C16"/>
    <mergeCell ref="I15:I16"/>
    <mergeCell ref="B21:B22"/>
    <mergeCell ref="B17:B19"/>
    <mergeCell ref="C21:C22"/>
    <mergeCell ref="C26:C27"/>
    <mergeCell ref="B26:B27"/>
    <mergeCell ref="I13:I14"/>
    <mergeCell ref="J3:J5"/>
    <mergeCell ref="I3:I5"/>
    <mergeCell ref="N21:N22"/>
    <mergeCell ref="N26:N27"/>
    <mergeCell ref="N28:N29"/>
    <mergeCell ref="N35:N38"/>
    <mergeCell ref="K7:K8"/>
    <mergeCell ref="K3:N3"/>
    <mergeCell ref="N7:N8"/>
    <mergeCell ref="N13:N14"/>
    <mergeCell ref="N15:N16"/>
    <mergeCell ref="N17:N19"/>
    <mergeCell ref="L7:L8"/>
    <mergeCell ref="L15:L16"/>
    <mergeCell ref="M15:M16"/>
    <mergeCell ref="M17:M19"/>
    <mergeCell ref="M7:M8"/>
    <mergeCell ref="M13:M14"/>
    <mergeCell ref="L13:L14"/>
    <mergeCell ref="K13:K14"/>
    <mergeCell ref="O50:O52"/>
    <mergeCell ref="O7:O8"/>
    <mergeCell ref="O13:O14"/>
    <mergeCell ref="O15:O16"/>
    <mergeCell ref="O17:O19"/>
    <mergeCell ref="O35:O38"/>
    <mergeCell ref="N50:N52"/>
    <mergeCell ref="K15:K16"/>
    <mergeCell ref="J28:J29"/>
    <mergeCell ref="J35:J38"/>
    <mergeCell ref="L26:L27"/>
    <mergeCell ref="L28:L29"/>
    <mergeCell ref="L17:L19"/>
    <mergeCell ref="K17:K19"/>
    <mergeCell ref="M50:M52"/>
    <mergeCell ref="M21:M22"/>
    <mergeCell ref="M26:M27"/>
    <mergeCell ref="M28:M29"/>
    <mergeCell ref="M35:M38"/>
    <mergeCell ref="L35:L38"/>
    <mergeCell ref="L50:L52"/>
    <mergeCell ref="L21:L22"/>
    <mergeCell ref="B50:B52"/>
    <mergeCell ref="C50:C52"/>
    <mergeCell ref="B35:B38"/>
    <mergeCell ref="C35:C38"/>
    <mergeCell ref="B28:B29"/>
    <mergeCell ref="C28:C29"/>
    <mergeCell ref="K50:K52"/>
    <mergeCell ref="J50:J52"/>
    <mergeCell ref="K21:K22"/>
    <mergeCell ref="K26:K27"/>
    <mergeCell ref="K28:K29"/>
    <mergeCell ref="K35:K38"/>
    <mergeCell ref="J15:J16"/>
    <mergeCell ref="I35:I38"/>
    <mergeCell ref="I28:I29"/>
    <mergeCell ref="J21:J22"/>
    <mergeCell ref="J26:J27"/>
    <mergeCell ref="J17:J19"/>
    <mergeCell ref="J13:J14"/>
    <mergeCell ref="B62:D62"/>
    <mergeCell ref="B63:D63"/>
    <mergeCell ref="G3:G5"/>
    <mergeCell ref="J7:J8"/>
    <mergeCell ref="B3:B5"/>
    <mergeCell ref="E3:E5"/>
    <mergeCell ref="C3:D5"/>
    <mergeCell ref="B7:B8"/>
    <mergeCell ref="C7:C8"/>
    <mergeCell ref="H3:H5"/>
    <mergeCell ref="F3:F5"/>
    <mergeCell ref="C13:C14"/>
    <mergeCell ref="C17:C19"/>
    <mergeCell ref="B13:B14"/>
  </mergeCells>
  <phoneticPr fontId="9" type="noConversion"/>
  <pageMargins left="0.19685039370078741" right="0.19685039370078741" top="0.19685039370078741" bottom="0.19685039370078741" header="0" footer="0"/>
  <pageSetup paperSize="9" scale="4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  <pageSetUpPr fitToPage="1"/>
  </sheetPr>
  <dimension ref="A1:P60"/>
  <sheetViews>
    <sheetView zoomScale="85" zoomScaleNormal="85" workbookViewId="0">
      <pane ySplit="6" topLeftCell="A7" activePane="bottomLeft" state="frozen"/>
      <selection activeCell="C27" sqref="C27:C28"/>
      <selection pane="bottomLeft" activeCell="P4" sqref="P4:P6"/>
    </sheetView>
  </sheetViews>
  <sheetFormatPr defaultColWidth="9.140625" defaultRowHeight="15" x14ac:dyDescent="0.2"/>
  <cols>
    <col min="1" max="1" width="1.7109375" style="7" customWidth="1"/>
    <col min="2" max="2" width="17.5703125" style="26" customWidth="1"/>
    <col min="3" max="3" width="56.85546875" style="274" customWidth="1"/>
    <col min="4" max="4" width="7.140625" style="275" customWidth="1"/>
    <col min="5" max="5" width="14.5703125" style="140" customWidth="1"/>
    <col min="6" max="6" width="19.7109375" style="140" customWidth="1"/>
    <col min="7" max="7" width="14.85546875" style="140" customWidth="1"/>
    <col min="8" max="8" width="15.140625" style="140" customWidth="1"/>
    <col min="9" max="9" width="11.7109375" style="273" customWidth="1"/>
    <col min="10" max="10" width="44.140625" style="274" customWidth="1"/>
    <col min="11" max="11" width="13.7109375" style="256" customWidth="1"/>
    <col min="12" max="12" width="15.85546875" style="256" customWidth="1"/>
    <col min="13" max="13" width="12.7109375" style="256" customWidth="1"/>
    <col min="14" max="14" width="13.140625" style="256" customWidth="1"/>
    <col min="15" max="15" width="46.85546875" style="274" customWidth="1"/>
    <col min="16" max="16" width="8.42578125" style="1215" customWidth="1"/>
    <col min="17" max="16384" width="9.140625" style="7"/>
  </cols>
  <sheetData>
    <row r="1" spans="1:16" ht="16.5" customHeight="1" x14ac:dyDescent="0.2">
      <c r="C1" s="1134"/>
      <c r="D1" s="1134"/>
      <c r="E1" s="1134"/>
      <c r="F1" s="1134"/>
      <c r="G1" s="1134"/>
      <c r="H1" s="1134"/>
      <c r="I1" s="1134"/>
      <c r="J1" s="1134"/>
      <c r="K1" s="1134"/>
      <c r="L1" s="1134"/>
      <c r="M1" s="1134"/>
      <c r="N1" s="1134"/>
      <c r="O1" s="7"/>
    </row>
    <row r="2" spans="1:16" s="81" customFormat="1" ht="36" customHeight="1" x14ac:dyDescent="0.2">
      <c r="B2" s="978" t="s">
        <v>935</v>
      </c>
      <c r="C2" s="978"/>
      <c r="D2" s="978"/>
      <c r="E2" s="978"/>
      <c r="F2" s="978"/>
      <c r="G2" s="978"/>
      <c r="H2" s="978"/>
      <c r="I2" s="978"/>
      <c r="J2" s="978"/>
      <c r="K2" s="978"/>
      <c r="L2" s="978"/>
      <c r="M2" s="978"/>
      <c r="N2" s="978"/>
      <c r="P2" s="1216"/>
    </row>
    <row r="3" spans="1:16" ht="17.25" customHeight="1" x14ac:dyDescent="0.2">
      <c r="B3" s="71"/>
      <c r="C3" s="257"/>
      <c r="D3" s="258"/>
      <c r="E3" s="134"/>
      <c r="F3" s="134"/>
      <c r="G3" s="134"/>
      <c r="H3" s="134"/>
      <c r="I3" s="259"/>
      <c r="J3" s="257"/>
      <c r="K3" s="243"/>
      <c r="L3" s="243"/>
      <c r="M3" s="243"/>
      <c r="N3" s="243"/>
      <c r="O3" s="257"/>
    </row>
    <row r="4" spans="1:16" s="9" customFormat="1" ht="27.75" customHeight="1" x14ac:dyDescent="0.2">
      <c r="B4" s="807" t="s">
        <v>27</v>
      </c>
      <c r="C4" s="976" t="s">
        <v>68</v>
      </c>
      <c r="D4" s="976"/>
      <c r="E4" s="822" t="s">
        <v>1091</v>
      </c>
      <c r="F4" s="787" t="s">
        <v>945</v>
      </c>
      <c r="G4" s="742" t="s">
        <v>266</v>
      </c>
      <c r="H4" s="742" t="s">
        <v>856</v>
      </c>
      <c r="I4" s="980" t="s">
        <v>174</v>
      </c>
      <c r="J4" s="742" t="s">
        <v>697</v>
      </c>
      <c r="K4" s="766" t="s">
        <v>863</v>
      </c>
      <c r="L4" s="767"/>
      <c r="M4" s="767"/>
      <c r="N4" s="768"/>
      <c r="O4" s="787" t="s">
        <v>946</v>
      </c>
      <c r="P4" s="1202" t="s">
        <v>1096</v>
      </c>
    </row>
    <row r="5" spans="1:16" s="9" customFormat="1" ht="18.75" customHeight="1" x14ac:dyDescent="0.2">
      <c r="B5" s="808"/>
      <c r="C5" s="976"/>
      <c r="D5" s="976"/>
      <c r="E5" s="823"/>
      <c r="F5" s="788"/>
      <c r="G5" s="743"/>
      <c r="H5" s="743"/>
      <c r="I5" s="980"/>
      <c r="J5" s="743"/>
      <c r="K5" s="976" t="s">
        <v>455</v>
      </c>
      <c r="L5" s="1130" t="s">
        <v>976</v>
      </c>
      <c r="M5" s="976" t="s">
        <v>456</v>
      </c>
      <c r="N5" s="976" t="s">
        <v>721</v>
      </c>
      <c r="O5" s="788"/>
      <c r="P5" s="1202"/>
    </row>
    <row r="6" spans="1:16" s="9" customFormat="1" ht="44.25" customHeight="1" x14ac:dyDescent="0.2">
      <c r="B6" s="809"/>
      <c r="C6" s="976"/>
      <c r="D6" s="976"/>
      <c r="E6" s="824"/>
      <c r="F6" s="789"/>
      <c r="G6" s="744"/>
      <c r="H6" s="744"/>
      <c r="I6" s="980"/>
      <c r="J6" s="744"/>
      <c r="K6" s="976"/>
      <c r="L6" s="1130"/>
      <c r="M6" s="976"/>
      <c r="N6" s="976"/>
      <c r="O6" s="789"/>
      <c r="P6" s="1202"/>
    </row>
    <row r="7" spans="1:16" s="91" customFormat="1" ht="78.75" customHeight="1" x14ac:dyDescent="0.2">
      <c r="B7" s="495" t="s">
        <v>400</v>
      </c>
      <c r="C7" s="1136" t="s">
        <v>293</v>
      </c>
      <c r="D7" s="1137"/>
      <c r="E7" s="479">
        <f>SUM(E8:E12)</f>
        <v>1091.4000000000001</v>
      </c>
      <c r="F7" s="479">
        <f t="shared" ref="F7:H7" si="0">SUM(F8:F12)</f>
        <v>1612.7</v>
      </c>
      <c r="G7" s="479">
        <f t="shared" si="0"/>
        <v>3845.1</v>
      </c>
      <c r="H7" s="479">
        <f t="shared" si="0"/>
        <v>111</v>
      </c>
      <c r="I7" s="479"/>
      <c r="J7" s="497" t="s">
        <v>698</v>
      </c>
      <c r="K7" s="413" t="s">
        <v>911</v>
      </c>
      <c r="L7" s="413" t="s">
        <v>911</v>
      </c>
      <c r="M7" s="413" t="s">
        <v>911</v>
      </c>
      <c r="N7" s="413" t="s">
        <v>872</v>
      </c>
      <c r="O7" s="497"/>
      <c r="P7" s="1217"/>
    </row>
    <row r="8" spans="1:16" ht="47.25" customHeight="1" x14ac:dyDescent="0.2">
      <c r="B8" s="66" t="s">
        <v>82</v>
      </c>
      <c r="C8" s="181" t="s">
        <v>296</v>
      </c>
      <c r="D8" s="260" t="s">
        <v>0</v>
      </c>
      <c r="E8" s="121">
        <v>57.4</v>
      </c>
      <c r="F8" s="121">
        <v>57.4</v>
      </c>
      <c r="G8" s="121">
        <v>59</v>
      </c>
      <c r="H8" s="121">
        <v>61</v>
      </c>
      <c r="I8" s="261" t="s">
        <v>210</v>
      </c>
      <c r="J8" s="181" t="s">
        <v>626</v>
      </c>
      <c r="K8" s="244" t="s">
        <v>627</v>
      </c>
      <c r="L8" s="244" t="s">
        <v>627</v>
      </c>
      <c r="M8" s="244" t="s">
        <v>627</v>
      </c>
      <c r="N8" s="244" t="s">
        <v>627</v>
      </c>
      <c r="O8" s="181"/>
      <c r="P8" s="1218">
        <f>+F8-E8</f>
        <v>0</v>
      </c>
    </row>
    <row r="9" spans="1:16" ht="46.5" customHeight="1" x14ac:dyDescent="0.2">
      <c r="B9" s="13" t="s">
        <v>83</v>
      </c>
      <c r="C9" s="185" t="s">
        <v>669</v>
      </c>
      <c r="D9" s="187" t="s">
        <v>0</v>
      </c>
      <c r="E9" s="120">
        <v>30</v>
      </c>
      <c r="F9" s="120">
        <v>30</v>
      </c>
      <c r="G9" s="120">
        <v>50</v>
      </c>
      <c r="H9" s="120">
        <v>50</v>
      </c>
      <c r="I9" s="262" t="s">
        <v>192</v>
      </c>
      <c r="J9" s="185" t="s">
        <v>498</v>
      </c>
      <c r="K9" s="245" t="s">
        <v>496</v>
      </c>
      <c r="L9" s="245" t="s">
        <v>496</v>
      </c>
      <c r="M9" s="245" t="s">
        <v>496</v>
      </c>
      <c r="N9" s="245" t="s">
        <v>496</v>
      </c>
      <c r="O9" s="185"/>
      <c r="P9" s="1218">
        <f t="shared" ref="P9:P41" si="1">+F9-E9</f>
        <v>0</v>
      </c>
    </row>
    <row r="10" spans="1:16" ht="68.25" customHeight="1" x14ac:dyDescent="0.2">
      <c r="B10" s="13" t="s">
        <v>401</v>
      </c>
      <c r="C10" s="185" t="s">
        <v>1018</v>
      </c>
      <c r="D10" s="260" t="s">
        <v>0</v>
      </c>
      <c r="E10" s="120">
        <v>4</v>
      </c>
      <c r="F10" s="120">
        <v>4</v>
      </c>
      <c r="G10" s="120">
        <v>0</v>
      </c>
      <c r="H10" s="120">
        <v>0</v>
      </c>
      <c r="I10" s="262" t="s">
        <v>193</v>
      </c>
      <c r="J10" s="182" t="s">
        <v>625</v>
      </c>
      <c r="K10" s="245" t="s">
        <v>463</v>
      </c>
      <c r="L10" s="245" t="s">
        <v>463</v>
      </c>
      <c r="M10" s="245"/>
      <c r="N10" s="245"/>
      <c r="O10" s="182"/>
      <c r="P10" s="1218">
        <f t="shared" si="1"/>
        <v>0</v>
      </c>
    </row>
    <row r="11" spans="1:16" s="12" customFormat="1" ht="51.75" customHeight="1" x14ac:dyDescent="0.2">
      <c r="B11" s="13" t="s">
        <v>403</v>
      </c>
      <c r="C11" s="190" t="s">
        <v>1019</v>
      </c>
      <c r="D11" s="188" t="s">
        <v>3</v>
      </c>
      <c r="E11" s="120">
        <v>1000</v>
      </c>
      <c r="F11" s="668">
        <v>1291.2</v>
      </c>
      <c r="G11" s="552">
        <v>3736.1</v>
      </c>
      <c r="H11" s="552">
        <v>0</v>
      </c>
      <c r="I11" s="262" t="s">
        <v>194</v>
      </c>
      <c r="J11" s="182" t="s">
        <v>723</v>
      </c>
      <c r="K11" s="245" t="s">
        <v>624</v>
      </c>
      <c r="L11" s="245" t="s">
        <v>624</v>
      </c>
      <c r="M11" s="245" t="s">
        <v>624</v>
      </c>
      <c r="N11" s="245"/>
      <c r="O11" s="549" t="s">
        <v>1064</v>
      </c>
      <c r="P11" s="1218">
        <f t="shared" si="1"/>
        <v>291.20000000000005</v>
      </c>
    </row>
    <row r="12" spans="1:16" s="12" customFormat="1" ht="45.75" customHeight="1" x14ac:dyDescent="0.2">
      <c r="B12" s="669" t="s">
        <v>986</v>
      </c>
      <c r="C12" s="670" t="s">
        <v>1065</v>
      </c>
      <c r="D12" s="671" t="s">
        <v>3</v>
      </c>
      <c r="E12" s="623">
        <v>0</v>
      </c>
      <c r="F12" s="623">
        <v>230.1</v>
      </c>
      <c r="G12" s="623">
        <v>0</v>
      </c>
      <c r="H12" s="623">
        <v>0</v>
      </c>
      <c r="I12" s="672"/>
      <c r="J12" s="673" t="s">
        <v>994</v>
      </c>
      <c r="K12" s="674"/>
      <c r="L12" s="674" t="s">
        <v>993</v>
      </c>
      <c r="M12" s="674"/>
      <c r="N12" s="674"/>
      <c r="O12" s="549" t="s">
        <v>997</v>
      </c>
      <c r="P12" s="1218">
        <f t="shared" si="1"/>
        <v>230.1</v>
      </c>
    </row>
    <row r="13" spans="1:16" s="83" customFormat="1" ht="87" customHeight="1" x14ac:dyDescent="0.2">
      <c r="A13" s="90"/>
      <c r="B13" s="498" t="s">
        <v>65</v>
      </c>
      <c r="C13" s="1135" t="s">
        <v>303</v>
      </c>
      <c r="D13" s="1135"/>
      <c r="E13" s="494">
        <f>SUM(E14:E22)</f>
        <v>1993.7</v>
      </c>
      <c r="F13" s="494">
        <f t="shared" ref="F13:H13" si="2">SUM(F14:F22)</f>
        <v>1993.7</v>
      </c>
      <c r="G13" s="494">
        <f t="shared" si="2"/>
        <v>2793</v>
      </c>
      <c r="H13" s="494">
        <f t="shared" si="2"/>
        <v>2432</v>
      </c>
      <c r="I13" s="499"/>
      <c r="J13" s="500" t="s">
        <v>689</v>
      </c>
      <c r="K13" s="558" t="s">
        <v>690</v>
      </c>
      <c r="L13" s="558" t="s">
        <v>690</v>
      </c>
      <c r="M13" s="558" t="s">
        <v>690</v>
      </c>
      <c r="N13" s="558" t="s">
        <v>690</v>
      </c>
      <c r="O13" s="500"/>
      <c r="P13" s="1218">
        <f t="shared" si="1"/>
        <v>0</v>
      </c>
    </row>
    <row r="14" spans="1:16" s="4" customFormat="1" ht="74.25" customHeight="1" x14ac:dyDescent="0.2">
      <c r="A14" s="25"/>
      <c r="B14" s="61" t="s">
        <v>84</v>
      </c>
      <c r="C14" s="37" t="s">
        <v>124</v>
      </c>
      <c r="D14" s="263" t="s">
        <v>3</v>
      </c>
      <c r="E14" s="135">
        <v>267.89999999999998</v>
      </c>
      <c r="F14" s="135">
        <v>267.89999999999998</v>
      </c>
      <c r="G14" s="135">
        <v>268</v>
      </c>
      <c r="H14" s="135">
        <v>270</v>
      </c>
      <c r="I14" s="264" t="s">
        <v>195</v>
      </c>
      <c r="J14" s="260" t="s">
        <v>926</v>
      </c>
      <c r="K14" s="246" t="s">
        <v>649</v>
      </c>
      <c r="L14" s="246" t="s">
        <v>649</v>
      </c>
      <c r="M14" s="246" t="s">
        <v>649</v>
      </c>
      <c r="N14" s="246" t="s">
        <v>649</v>
      </c>
      <c r="O14" s="260"/>
      <c r="P14" s="1218">
        <f t="shared" si="1"/>
        <v>0</v>
      </c>
    </row>
    <row r="15" spans="1:16" s="4" customFormat="1" ht="53.25" customHeight="1" x14ac:dyDescent="0.2">
      <c r="A15" s="25"/>
      <c r="B15" s="25" t="s">
        <v>85</v>
      </c>
      <c r="C15" s="34" t="s">
        <v>927</v>
      </c>
      <c r="D15" s="34" t="s">
        <v>3</v>
      </c>
      <c r="E15" s="38">
        <v>421.8</v>
      </c>
      <c r="F15" s="38">
        <v>421.8</v>
      </c>
      <c r="G15" s="38">
        <v>422</v>
      </c>
      <c r="H15" s="38">
        <v>422</v>
      </c>
      <c r="I15" s="265" t="s">
        <v>196</v>
      </c>
      <c r="J15" s="37" t="s">
        <v>642</v>
      </c>
      <c r="K15" s="247" t="s">
        <v>753</v>
      </c>
      <c r="L15" s="247" t="s">
        <v>753</v>
      </c>
      <c r="M15" s="247" t="s">
        <v>753</v>
      </c>
      <c r="N15" s="247" t="s">
        <v>753</v>
      </c>
      <c r="O15" s="37"/>
      <c r="P15" s="1218">
        <f t="shared" si="1"/>
        <v>0</v>
      </c>
    </row>
    <row r="16" spans="1:16" s="4" customFormat="1" ht="36.75" customHeight="1" x14ac:dyDescent="0.2">
      <c r="A16" s="11"/>
      <c r="B16" s="25" t="s">
        <v>86</v>
      </c>
      <c r="C16" s="34" t="s">
        <v>280</v>
      </c>
      <c r="D16" s="34" t="s">
        <v>0</v>
      </c>
      <c r="E16" s="38">
        <v>40</v>
      </c>
      <c r="F16" s="38">
        <v>40</v>
      </c>
      <c r="G16" s="38">
        <v>40</v>
      </c>
      <c r="H16" s="38">
        <v>40</v>
      </c>
      <c r="I16" s="265" t="s">
        <v>196</v>
      </c>
      <c r="J16" s="34" t="s">
        <v>643</v>
      </c>
      <c r="K16" s="247">
        <v>5</v>
      </c>
      <c r="L16" s="247">
        <v>5</v>
      </c>
      <c r="M16" s="247">
        <v>5</v>
      </c>
      <c r="N16" s="247">
        <v>5</v>
      </c>
      <c r="O16" s="34"/>
      <c r="P16" s="1218">
        <f t="shared" si="1"/>
        <v>0</v>
      </c>
    </row>
    <row r="17" spans="1:16" s="4" customFormat="1" ht="35.25" customHeight="1" x14ac:dyDescent="0.2">
      <c r="A17" s="28"/>
      <c r="B17" s="25" t="s">
        <v>87</v>
      </c>
      <c r="C17" s="42" t="s">
        <v>125</v>
      </c>
      <c r="D17" s="34" t="s">
        <v>0</v>
      </c>
      <c r="E17" s="38">
        <v>50</v>
      </c>
      <c r="F17" s="38">
        <v>50</v>
      </c>
      <c r="G17" s="38">
        <v>40</v>
      </c>
      <c r="H17" s="38">
        <v>40</v>
      </c>
      <c r="I17" s="266" t="s">
        <v>197</v>
      </c>
      <c r="J17" s="42" t="s">
        <v>644</v>
      </c>
      <c r="K17" s="248" t="s">
        <v>646</v>
      </c>
      <c r="L17" s="248" t="s">
        <v>646</v>
      </c>
      <c r="M17" s="248" t="s">
        <v>701</v>
      </c>
      <c r="N17" s="248" t="s">
        <v>701</v>
      </c>
      <c r="O17" s="581"/>
      <c r="P17" s="1218">
        <f t="shared" si="1"/>
        <v>0</v>
      </c>
    </row>
    <row r="18" spans="1:16" s="4" customFormat="1" ht="39.75" customHeight="1" x14ac:dyDescent="0.2">
      <c r="A18" s="28"/>
      <c r="B18" s="25" t="s">
        <v>88</v>
      </c>
      <c r="C18" s="34" t="s">
        <v>438</v>
      </c>
      <c r="D18" s="34" t="s">
        <v>0</v>
      </c>
      <c r="E18" s="136">
        <v>0</v>
      </c>
      <c r="F18" s="136">
        <v>0</v>
      </c>
      <c r="G18" s="136">
        <v>159</v>
      </c>
      <c r="H18" s="136">
        <v>96</v>
      </c>
      <c r="I18" s="267" t="s">
        <v>197</v>
      </c>
      <c r="J18" s="42" t="s">
        <v>645</v>
      </c>
      <c r="K18" s="249"/>
      <c r="L18" s="249"/>
      <c r="M18" s="249">
        <v>1</v>
      </c>
      <c r="N18" s="249">
        <v>1</v>
      </c>
      <c r="O18" s="42"/>
      <c r="P18" s="1218">
        <f t="shared" si="1"/>
        <v>0</v>
      </c>
    </row>
    <row r="19" spans="1:16" s="62" customFormat="1" ht="46.5" customHeight="1" x14ac:dyDescent="0.2">
      <c r="A19" s="27"/>
      <c r="B19" s="14" t="s">
        <v>89</v>
      </c>
      <c r="C19" s="34" t="s">
        <v>294</v>
      </c>
      <c r="D19" s="34" t="s">
        <v>0</v>
      </c>
      <c r="E19" s="38">
        <v>0</v>
      </c>
      <c r="F19" s="38">
        <v>0</v>
      </c>
      <c r="G19" s="38">
        <v>650</v>
      </c>
      <c r="H19" s="38">
        <v>500</v>
      </c>
      <c r="I19" s="267" t="s">
        <v>197</v>
      </c>
      <c r="J19" s="34" t="s">
        <v>647</v>
      </c>
      <c r="K19" s="250"/>
      <c r="L19" s="250"/>
      <c r="M19" s="250"/>
      <c r="N19" s="249">
        <v>1</v>
      </c>
      <c r="O19" s="34"/>
      <c r="P19" s="1218">
        <f t="shared" si="1"/>
        <v>0</v>
      </c>
    </row>
    <row r="20" spans="1:16" s="64" customFormat="1" ht="48.75" customHeight="1" x14ac:dyDescent="0.2">
      <c r="A20" s="63"/>
      <c r="B20" s="25" t="s">
        <v>90</v>
      </c>
      <c r="C20" s="34" t="s">
        <v>281</v>
      </c>
      <c r="D20" s="34" t="s">
        <v>3</v>
      </c>
      <c r="E20" s="38">
        <v>1064</v>
      </c>
      <c r="F20" s="38">
        <v>1064</v>
      </c>
      <c r="G20" s="38">
        <v>1064</v>
      </c>
      <c r="H20" s="38">
        <v>1064</v>
      </c>
      <c r="I20" s="265" t="s">
        <v>196</v>
      </c>
      <c r="J20" s="268" t="s">
        <v>648</v>
      </c>
      <c r="K20" s="247" t="s">
        <v>478</v>
      </c>
      <c r="L20" s="247" t="s">
        <v>478</v>
      </c>
      <c r="M20" s="247" t="s">
        <v>478</v>
      </c>
      <c r="N20" s="247" t="s">
        <v>478</v>
      </c>
      <c r="O20" s="268"/>
      <c r="P20" s="1218">
        <f t="shared" si="1"/>
        <v>0</v>
      </c>
    </row>
    <row r="21" spans="1:16" s="64" customFormat="1" ht="39.75" customHeight="1" x14ac:dyDescent="0.2">
      <c r="A21" s="63"/>
      <c r="B21" s="1132" t="s">
        <v>899</v>
      </c>
      <c r="C21" s="1126" t="s">
        <v>796</v>
      </c>
      <c r="D21" s="34" t="s">
        <v>0</v>
      </c>
      <c r="E21" s="38">
        <v>15</v>
      </c>
      <c r="F21" s="38">
        <v>15</v>
      </c>
      <c r="G21" s="38">
        <v>15</v>
      </c>
      <c r="H21" s="38">
        <v>0</v>
      </c>
      <c r="I21" s="265" t="s">
        <v>196</v>
      </c>
      <c r="J21" s="1126" t="s">
        <v>908</v>
      </c>
      <c r="K21" s="1126"/>
      <c r="L21" s="1126"/>
      <c r="M21" s="1128">
        <v>0.42</v>
      </c>
      <c r="N21" s="1126"/>
      <c r="O21" s="1155"/>
      <c r="P21" s="1218">
        <f t="shared" si="1"/>
        <v>0</v>
      </c>
    </row>
    <row r="22" spans="1:16" s="64" customFormat="1" ht="37.5" customHeight="1" x14ac:dyDescent="0.2">
      <c r="A22" s="63"/>
      <c r="B22" s="1133"/>
      <c r="C22" s="1127"/>
      <c r="D22" s="34" t="s">
        <v>3</v>
      </c>
      <c r="E22" s="38">
        <v>135</v>
      </c>
      <c r="F22" s="38">
        <v>135</v>
      </c>
      <c r="G22" s="38">
        <v>135</v>
      </c>
      <c r="H22" s="38">
        <v>0</v>
      </c>
      <c r="I22" s="267"/>
      <c r="J22" s="1127"/>
      <c r="K22" s="1127"/>
      <c r="L22" s="1127"/>
      <c r="M22" s="1129"/>
      <c r="N22" s="1127"/>
      <c r="O22" s="1156"/>
      <c r="P22" s="1218">
        <f t="shared" si="1"/>
        <v>0</v>
      </c>
    </row>
    <row r="23" spans="1:16" s="89" customFormat="1" ht="54.75" customHeight="1" x14ac:dyDescent="0.2">
      <c r="B23" s="498" t="s">
        <v>67</v>
      </c>
      <c r="C23" s="495" t="s">
        <v>11</v>
      </c>
      <c r="D23" s="495"/>
      <c r="E23" s="479">
        <f>SUM(E24:E34)</f>
        <v>676</v>
      </c>
      <c r="F23" s="479">
        <f t="shared" ref="F23:H23" si="3">SUM(F24:F34)</f>
        <v>861</v>
      </c>
      <c r="G23" s="479">
        <f t="shared" si="3"/>
        <v>1294.9000000000001</v>
      </c>
      <c r="H23" s="479">
        <f t="shared" si="3"/>
        <v>520</v>
      </c>
      <c r="I23" s="501"/>
      <c r="J23" s="495" t="s">
        <v>641</v>
      </c>
      <c r="K23" s="413" t="s">
        <v>587</v>
      </c>
      <c r="L23" s="413" t="s">
        <v>587</v>
      </c>
      <c r="M23" s="413" t="s">
        <v>559</v>
      </c>
      <c r="N23" s="413" t="s">
        <v>559</v>
      </c>
      <c r="O23" s="495"/>
      <c r="P23" s="1218">
        <f t="shared" si="1"/>
        <v>185</v>
      </c>
    </row>
    <row r="24" spans="1:16" ht="34.5" customHeight="1" x14ac:dyDescent="0.2">
      <c r="B24" s="1152" t="s">
        <v>794</v>
      </c>
      <c r="C24" s="1131" t="s">
        <v>1020</v>
      </c>
      <c r="D24" s="182" t="s">
        <v>0</v>
      </c>
      <c r="E24" s="120">
        <v>10</v>
      </c>
      <c r="F24" s="675">
        <f>10+20+10</f>
        <v>40</v>
      </c>
      <c r="G24" s="120">
        <v>50</v>
      </c>
      <c r="H24" s="120">
        <v>35</v>
      </c>
      <c r="I24" s="261" t="s">
        <v>199</v>
      </c>
      <c r="J24" s="1131" t="s">
        <v>630</v>
      </c>
      <c r="K24" s="1149"/>
      <c r="L24" s="1149"/>
      <c r="M24" s="1147"/>
      <c r="N24" s="1150" t="s">
        <v>475</v>
      </c>
      <c r="O24" s="1157" t="s">
        <v>1066</v>
      </c>
      <c r="P24" s="1218">
        <f t="shared" si="1"/>
        <v>30</v>
      </c>
    </row>
    <row r="25" spans="1:16" ht="37.5" customHeight="1" x14ac:dyDescent="0.2">
      <c r="B25" s="1152"/>
      <c r="C25" s="1131"/>
      <c r="D25" s="182" t="s">
        <v>1</v>
      </c>
      <c r="E25" s="120">
        <v>60</v>
      </c>
      <c r="F25" s="668">
        <v>255</v>
      </c>
      <c r="G25" s="120">
        <v>285</v>
      </c>
      <c r="H25" s="120">
        <v>185</v>
      </c>
      <c r="I25" s="269"/>
      <c r="J25" s="1131"/>
      <c r="K25" s="1149"/>
      <c r="L25" s="1149"/>
      <c r="M25" s="1148"/>
      <c r="N25" s="1151"/>
      <c r="O25" s="1157"/>
      <c r="P25" s="1218">
        <f t="shared" si="1"/>
        <v>195</v>
      </c>
    </row>
    <row r="26" spans="1:16" s="51" customFormat="1" ht="37.5" customHeight="1" x14ac:dyDescent="0.2">
      <c r="B26" s="13" t="s">
        <v>168</v>
      </c>
      <c r="C26" s="182" t="s">
        <v>439</v>
      </c>
      <c r="D26" s="182" t="s">
        <v>0</v>
      </c>
      <c r="E26" s="119">
        <v>26</v>
      </c>
      <c r="F26" s="119">
        <v>26</v>
      </c>
      <c r="G26" s="119">
        <v>0</v>
      </c>
      <c r="H26" s="119">
        <v>0</v>
      </c>
      <c r="I26" s="262" t="s">
        <v>214</v>
      </c>
      <c r="J26" s="182" t="s">
        <v>631</v>
      </c>
      <c r="K26" s="246"/>
      <c r="L26" s="246"/>
      <c r="M26" s="246"/>
      <c r="N26" s="246"/>
      <c r="O26" s="182"/>
      <c r="P26" s="1218">
        <f t="shared" si="1"/>
        <v>0</v>
      </c>
    </row>
    <row r="27" spans="1:16" ht="57" customHeight="1" x14ac:dyDescent="0.2">
      <c r="B27" s="31" t="s">
        <v>632</v>
      </c>
      <c r="C27" s="183" t="s">
        <v>440</v>
      </c>
      <c r="D27" s="182" t="s">
        <v>0</v>
      </c>
      <c r="E27" s="120">
        <v>500</v>
      </c>
      <c r="F27" s="120">
        <v>500</v>
      </c>
      <c r="G27" s="120">
        <v>500</v>
      </c>
      <c r="H27" s="120">
        <v>0</v>
      </c>
      <c r="I27" s="270" t="s">
        <v>201</v>
      </c>
      <c r="J27" s="182" t="s">
        <v>709</v>
      </c>
      <c r="K27" s="211" t="s">
        <v>870</v>
      </c>
      <c r="L27" s="211" t="s">
        <v>870</v>
      </c>
      <c r="M27" s="211" t="s">
        <v>629</v>
      </c>
      <c r="N27" s="211"/>
      <c r="O27" s="182"/>
      <c r="P27" s="1218">
        <f t="shared" si="1"/>
        <v>0</v>
      </c>
    </row>
    <row r="28" spans="1:16" ht="38.25" customHeight="1" x14ac:dyDescent="0.2">
      <c r="B28" s="23" t="s">
        <v>795</v>
      </c>
      <c r="C28" s="182" t="s">
        <v>276</v>
      </c>
      <c r="D28" s="42" t="s">
        <v>0</v>
      </c>
      <c r="E28" s="120">
        <v>0</v>
      </c>
      <c r="F28" s="120">
        <v>0</v>
      </c>
      <c r="G28" s="120">
        <v>300</v>
      </c>
      <c r="H28" s="120">
        <v>300</v>
      </c>
      <c r="I28" s="262" t="s">
        <v>199</v>
      </c>
      <c r="J28" s="182" t="s">
        <v>871</v>
      </c>
      <c r="K28" s="246"/>
      <c r="L28" s="246"/>
      <c r="M28" s="245" t="s">
        <v>870</v>
      </c>
      <c r="N28" s="245" t="s">
        <v>629</v>
      </c>
      <c r="O28" s="182"/>
      <c r="P28" s="1218">
        <f t="shared" si="1"/>
        <v>0</v>
      </c>
    </row>
    <row r="29" spans="1:16" ht="23.25" customHeight="1" x14ac:dyDescent="0.2">
      <c r="B29" s="1141" t="s">
        <v>402</v>
      </c>
      <c r="C29" s="1085" t="s">
        <v>791</v>
      </c>
      <c r="D29" s="42" t="s">
        <v>0</v>
      </c>
      <c r="E29" s="120">
        <v>40</v>
      </c>
      <c r="F29" s="120">
        <v>40</v>
      </c>
      <c r="G29" s="120">
        <v>30</v>
      </c>
      <c r="H29" s="120">
        <v>0</v>
      </c>
      <c r="I29" s="1138" t="s">
        <v>291</v>
      </c>
      <c r="J29" s="1085" t="s">
        <v>797</v>
      </c>
      <c r="K29" s="1144"/>
      <c r="L29" s="1144"/>
      <c r="M29" s="1144">
        <v>1</v>
      </c>
      <c r="N29" s="1144"/>
      <c r="O29" s="1085"/>
      <c r="P29" s="1218">
        <f t="shared" si="1"/>
        <v>0</v>
      </c>
    </row>
    <row r="30" spans="1:16" ht="23.25" customHeight="1" x14ac:dyDescent="0.2">
      <c r="B30" s="1142"/>
      <c r="C30" s="1090"/>
      <c r="D30" s="42" t="s">
        <v>1</v>
      </c>
      <c r="E30" s="120">
        <v>0</v>
      </c>
      <c r="F30" s="120">
        <v>0</v>
      </c>
      <c r="G30" s="120">
        <v>25.4</v>
      </c>
      <c r="H30" s="120">
        <v>0</v>
      </c>
      <c r="I30" s="1139"/>
      <c r="J30" s="1090"/>
      <c r="K30" s="1145"/>
      <c r="L30" s="1145"/>
      <c r="M30" s="1145"/>
      <c r="N30" s="1145"/>
      <c r="O30" s="1090"/>
      <c r="P30" s="1218">
        <f t="shared" si="1"/>
        <v>0</v>
      </c>
    </row>
    <row r="31" spans="1:16" ht="23.25" customHeight="1" x14ac:dyDescent="0.2">
      <c r="B31" s="1143"/>
      <c r="C31" s="1086"/>
      <c r="D31" s="42" t="s">
        <v>3</v>
      </c>
      <c r="E31" s="120">
        <v>0</v>
      </c>
      <c r="F31" s="120">
        <v>0</v>
      </c>
      <c r="G31" s="120">
        <v>4.5</v>
      </c>
      <c r="H31" s="120">
        <v>0</v>
      </c>
      <c r="I31" s="1140"/>
      <c r="J31" s="1086"/>
      <c r="K31" s="1146"/>
      <c r="L31" s="1146"/>
      <c r="M31" s="1146"/>
      <c r="N31" s="1146"/>
      <c r="O31" s="1086"/>
      <c r="P31" s="1218">
        <f t="shared" si="1"/>
        <v>0</v>
      </c>
    </row>
    <row r="32" spans="1:16" ht="23.25" customHeight="1" x14ac:dyDescent="0.2">
      <c r="B32" s="1141" t="s">
        <v>633</v>
      </c>
      <c r="C32" s="1085" t="s">
        <v>792</v>
      </c>
      <c r="D32" s="42" t="s">
        <v>0</v>
      </c>
      <c r="E32" s="120">
        <v>40</v>
      </c>
      <c r="F32" s="723">
        <v>0</v>
      </c>
      <c r="G32" s="724">
        <v>70</v>
      </c>
      <c r="H32" s="120">
        <v>0</v>
      </c>
      <c r="I32" s="1138" t="s">
        <v>291</v>
      </c>
      <c r="J32" s="1085" t="s">
        <v>797</v>
      </c>
      <c r="K32" s="1144"/>
      <c r="L32" s="1144"/>
      <c r="M32" s="1144">
        <v>1</v>
      </c>
      <c r="N32" s="1144"/>
      <c r="O32" s="1158" t="s">
        <v>1085</v>
      </c>
      <c r="P32" s="1218">
        <f t="shared" si="1"/>
        <v>-40</v>
      </c>
    </row>
    <row r="33" spans="1:16" ht="23.25" customHeight="1" x14ac:dyDescent="0.2">
      <c r="B33" s="1142"/>
      <c r="C33" s="1090"/>
      <c r="D33" s="42" t="s">
        <v>1</v>
      </c>
      <c r="E33" s="120">
        <v>0</v>
      </c>
      <c r="F33" s="120">
        <v>0</v>
      </c>
      <c r="G33" s="120">
        <v>25.5</v>
      </c>
      <c r="H33" s="120">
        <v>0</v>
      </c>
      <c r="I33" s="1139"/>
      <c r="J33" s="1090"/>
      <c r="K33" s="1145"/>
      <c r="L33" s="1145"/>
      <c r="M33" s="1145"/>
      <c r="N33" s="1145"/>
      <c r="O33" s="1159"/>
      <c r="P33" s="1218">
        <f t="shared" si="1"/>
        <v>0</v>
      </c>
    </row>
    <row r="34" spans="1:16" ht="23.25" customHeight="1" x14ac:dyDescent="0.2">
      <c r="B34" s="1143"/>
      <c r="C34" s="1086"/>
      <c r="D34" s="42" t="s">
        <v>3</v>
      </c>
      <c r="E34" s="120">
        <v>0</v>
      </c>
      <c r="F34" s="120">
        <v>0</v>
      </c>
      <c r="G34" s="120">
        <v>4.5</v>
      </c>
      <c r="H34" s="120">
        <v>0</v>
      </c>
      <c r="I34" s="1140"/>
      <c r="J34" s="1086"/>
      <c r="K34" s="1146"/>
      <c r="L34" s="1146"/>
      <c r="M34" s="1146"/>
      <c r="N34" s="1146"/>
      <c r="O34" s="1160"/>
      <c r="P34" s="1218">
        <f t="shared" si="1"/>
        <v>0</v>
      </c>
    </row>
    <row r="35" spans="1:16" s="89" customFormat="1" ht="67.5" customHeight="1" x14ac:dyDescent="0.2">
      <c r="B35" s="498" t="s">
        <v>66</v>
      </c>
      <c r="C35" s="502" t="s">
        <v>12</v>
      </c>
      <c r="D35" s="502"/>
      <c r="E35" s="479">
        <f>SUM(E36:E41)</f>
        <v>595.20000000000005</v>
      </c>
      <c r="F35" s="479">
        <f t="shared" ref="F35:H35" si="4">SUM(F36:F41)</f>
        <v>595.20000000000005</v>
      </c>
      <c r="G35" s="479">
        <f t="shared" si="4"/>
        <v>795</v>
      </c>
      <c r="H35" s="479">
        <f t="shared" si="4"/>
        <v>540</v>
      </c>
      <c r="I35" s="496"/>
      <c r="J35" s="495" t="s">
        <v>710</v>
      </c>
      <c r="K35" s="413" t="s">
        <v>640</v>
      </c>
      <c r="L35" s="413" t="s">
        <v>640</v>
      </c>
      <c r="M35" s="413" t="s">
        <v>599</v>
      </c>
      <c r="N35" s="413" t="s">
        <v>754</v>
      </c>
      <c r="O35" s="495"/>
      <c r="P35" s="1218">
        <f t="shared" si="1"/>
        <v>0</v>
      </c>
    </row>
    <row r="36" spans="1:16" ht="55.5" customHeight="1" x14ac:dyDescent="0.2">
      <c r="B36" s="23" t="s">
        <v>944</v>
      </c>
      <c r="C36" s="181" t="s">
        <v>295</v>
      </c>
      <c r="D36" s="260" t="s">
        <v>0</v>
      </c>
      <c r="E36" s="121">
        <v>192.5</v>
      </c>
      <c r="F36" s="121">
        <v>192.5</v>
      </c>
      <c r="G36" s="121">
        <v>160</v>
      </c>
      <c r="H36" s="121">
        <v>160</v>
      </c>
      <c r="I36" s="261" t="s">
        <v>210</v>
      </c>
      <c r="J36" s="181" t="s">
        <v>634</v>
      </c>
      <c r="K36" s="244" t="s">
        <v>461</v>
      </c>
      <c r="L36" s="244" t="s">
        <v>461</v>
      </c>
      <c r="M36" s="244" t="s">
        <v>587</v>
      </c>
      <c r="N36" s="244" t="s">
        <v>587</v>
      </c>
      <c r="O36" s="181"/>
      <c r="P36" s="1218">
        <f t="shared" si="1"/>
        <v>0</v>
      </c>
    </row>
    <row r="37" spans="1:16" ht="57.75" customHeight="1" x14ac:dyDescent="0.2">
      <c r="B37" s="13" t="s">
        <v>798</v>
      </c>
      <c r="C37" s="182" t="s">
        <v>928</v>
      </c>
      <c r="D37" s="191" t="s">
        <v>0</v>
      </c>
      <c r="E37" s="137">
        <v>160</v>
      </c>
      <c r="F37" s="137">
        <v>160</v>
      </c>
      <c r="G37" s="138">
        <v>230</v>
      </c>
      <c r="H37" s="138">
        <v>230</v>
      </c>
      <c r="I37" s="271" t="s">
        <v>209</v>
      </c>
      <c r="J37" s="182" t="s">
        <v>639</v>
      </c>
      <c r="K37" s="246">
        <v>6</v>
      </c>
      <c r="L37" s="246">
        <v>6</v>
      </c>
      <c r="M37" s="246">
        <v>6</v>
      </c>
      <c r="N37" s="246">
        <v>6</v>
      </c>
      <c r="O37" s="182"/>
      <c r="P37" s="1218">
        <f t="shared" si="1"/>
        <v>0</v>
      </c>
    </row>
    <row r="38" spans="1:16" ht="42.75" customHeight="1" x14ac:dyDescent="0.2">
      <c r="B38" s="197" t="s">
        <v>270</v>
      </c>
      <c r="C38" s="183" t="s">
        <v>441</v>
      </c>
      <c r="D38" s="42" t="s">
        <v>0</v>
      </c>
      <c r="E38" s="120">
        <v>110</v>
      </c>
      <c r="F38" s="120">
        <v>110</v>
      </c>
      <c r="G38" s="120">
        <v>255</v>
      </c>
      <c r="H38" s="120">
        <v>0</v>
      </c>
      <c r="I38" s="261" t="s">
        <v>199</v>
      </c>
      <c r="J38" s="183" t="s">
        <v>637</v>
      </c>
      <c r="K38" s="211"/>
      <c r="L38" s="211"/>
      <c r="M38" s="211">
        <v>1</v>
      </c>
      <c r="N38" s="211"/>
      <c r="O38" s="183"/>
      <c r="P38" s="1218">
        <f t="shared" si="1"/>
        <v>0</v>
      </c>
    </row>
    <row r="39" spans="1:16" ht="42.75" customHeight="1" x14ac:dyDescent="0.2">
      <c r="B39" s="13" t="s">
        <v>91</v>
      </c>
      <c r="C39" s="183" t="s">
        <v>442</v>
      </c>
      <c r="D39" s="191" t="s">
        <v>0</v>
      </c>
      <c r="E39" s="138">
        <v>32.700000000000003</v>
      </c>
      <c r="F39" s="138">
        <v>32.700000000000003</v>
      </c>
      <c r="G39" s="138">
        <v>50</v>
      </c>
      <c r="H39" s="138">
        <v>50</v>
      </c>
      <c r="I39" s="261" t="s">
        <v>291</v>
      </c>
      <c r="J39" s="183" t="s">
        <v>636</v>
      </c>
      <c r="K39" s="211">
        <v>100</v>
      </c>
      <c r="L39" s="211">
        <v>100</v>
      </c>
      <c r="M39" s="211">
        <v>100</v>
      </c>
      <c r="N39" s="211">
        <v>100</v>
      </c>
      <c r="O39" s="183"/>
      <c r="P39" s="1218">
        <f t="shared" si="1"/>
        <v>0</v>
      </c>
    </row>
    <row r="40" spans="1:16" ht="45.75" customHeight="1" x14ac:dyDescent="0.2">
      <c r="B40" s="23" t="s">
        <v>92</v>
      </c>
      <c r="C40" s="182" t="s">
        <v>834</v>
      </c>
      <c r="D40" s="191" t="s">
        <v>0</v>
      </c>
      <c r="E40" s="120">
        <v>50</v>
      </c>
      <c r="F40" s="120">
        <v>50</v>
      </c>
      <c r="G40" s="120">
        <v>50</v>
      </c>
      <c r="H40" s="120">
        <v>50</v>
      </c>
      <c r="I40" s="261" t="s">
        <v>198</v>
      </c>
      <c r="J40" s="182" t="s">
        <v>635</v>
      </c>
      <c r="K40" s="246">
        <v>4</v>
      </c>
      <c r="L40" s="560">
        <v>1</v>
      </c>
      <c r="M40" s="246">
        <v>4</v>
      </c>
      <c r="N40" s="246">
        <v>4</v>
      </c>
      <c r="O40" s="559" t="s">
        <v>1057</v>
      </c>
      <c r="P40" s="1218">
        <f t="shared" si="1"/>
        <v>0</v>
      </c>
    </row>
    <row r="41" spans="1:16" s="20" customFormat="1" ht="55.5" customHeight="1" x14ac:dyDescent="0.2">
      <c r="B41" s="23" t="s">
        <v>799</v>
      </c>
      <c r="C41" s="185" t="s">
        <v>130</v>
      </c>
      <c r="D41" s="185" t="s">
        <v>0</v>
      </c>
      <c r="E41" s="120">
        <v>50</v>
      </c>
      <c r="F41" s="120">
        <v>50</v>
      </c>
      <c r="G41" s="120">
        <v>50</v>
      </c>
      <c r="H41" s="120">
        <v>50</v>
      </c>
      <c r="I41" s="262" t="s">
        <v>200</v>
      </c>
      <c r="J41" s="185" t="s">
        <v>638</v>
      </c>
      <c r="K41" s="245" t="s">
        <v>587</v>
      </c>
      <c r="L41" s="561" t="s">
        <v>858</v>
      </c>
      <c r="M41" s="245" t="s">
        <v>587</v>
      </c>
      <c r="N41" s="245" t="s">
        <v>587</v>
      </c>
      <c r="O41" s="559" t="s">
        <v>1058</v>
      </c>
      <c r="P41" s="1218">
        <f t="shared" si="1"/>
        <v>0</v>
      </c>
    </row>
    <row r="42" spans="1:16" s="4" customFormat="1" ht="27.75" customHeight="1" x14ac:dyDescent="0.2">
      <c r="A42" s="1154" t="s">
        <v>169</v>
      </c>
      <c r="B42" s="1154"/>
      <c r="C42" s="1154"/>
      <c r="D42" s="1154"/>
      <c r="E42" s="494">
        <f>+E35+E23+E13+E7</f>
        <v>4356.3</v>
      </c>
      <c r="F42" s="494">
        <f>+F35+F23+F13+F7</f>
        <v>5062.6000000000004</v>
      </c>
      <c r="G42" s="494">
        <f>+G35+G23+G13+G7</f>
        <v>8728</v>
      </c>
      <c r="H42" s="494">
        <f>+H35+H23+H13+H7</f>
        <v>3603</v>
      </c>
      <c r="I42" s="1221">
        <f>+F42-E42</f>
        <v>706.30000000000018</v>
      </c>
      <c r="J42" s="272"/>
      <c r="K42" s="251"/>
      <c r="L42" s="251"/>
      <c r="M42" s="251"/>
      <c r="N42" s="251"/>
      <c r="O42" s="272"/>
      <c r="P42" s="1219"/>
    </row>
    <row r="43" spans="1:16" s="700" customFormat="1" ht="19.5" customHeight="1" x14ac:dyDescent="0.2">
      <c r="A43" s="1153"/>
      <c r="B43" s="1153"/>
      <c r="C43" s="1153"/>
      <c r="D43" s="1153"/>
      <c r="E43" s="697">
        <f>+E42-E44-E52</f>
        <v>0</v>
      </c>
      <c r="F43" s="697">
        <f t="shared" ref="F43:H43" si="5">+F42-F44-F52</f>
        <v>9.0949470177292824E-13</v>
      </c>
      <c r="G43" s="697">
        <f t="shared" si="5"/>
        <v>0</v>
      </c>
      <c r="H43" s="697">
        <f t="shared" si="5"/>
        <v>0</v>
      </c>
      <c r="I43" s="1221">
        <f t="shared" ref="I43:I54" si="6">+F43-E43</f>
        <v>9.0949470177292824E-13</v>
      </c>
      <c r="J43" s="698"/>
      <c r="K43" s="699"/>
      <c r="L43" s="699"/>
      <c r="M43" s="699"/>
      <c r="N43" s="699"/>
      <c r="O43" s="698"/>
      <c r="P43" s="1219"/>
    </row>
    <row r="44" spans="1:16" s="40" customFormat="1" ht="25.5" customHeight="1" x14ac:dyDescent="0.25">
      <c r="B44" s="472"/>
      <c r="C44" s="493" t="s">
        <v>143</v>
      </c>
      <c r="D44" s="473"/>
      <c r="E44" s="474">
        <f t="shared" ref="E44:H44" si="7">SUM(E46:E51)</f>
        <v>4356.3</v>
      </c>
      <c r="F44" s="474">
        <f t="shared" si="7"/>
        <v>5062.5999999999995</v>
      </c>
      <c r="G44" s="474">
        <f t="shared" si="7"/>
        <v>8728</v>
      </c>
      <c r="H44" s="474">
        <f t="shared" si="7"/>
        <v>3603</v>
      </c>
      <c r="I44" s="1221">
        <f t="shared" si="6"/>
        <v>706.29999999999927</v>
      </c>
      <c r="J44" s="86"/>
      <c r="K44" s="252"/>
      <c r="L44" s="252"/>
      <c r="M44" s="252"/>
      <c r="N44" s="252"/>
      <c r="O44" s="86"/>
      <c r="P44" s="1220"/>
    </row>
    <row r="45" spans="1:16" s="40" customFormat="1" ht="17.25" customHeight="1" x14ac:dyDescent="0.25">
      <c r="B45" s="25"/>
      <c r="C45" s="395" t="s">
        <v>144</v>
      </c>
      <c r="D45" s="37"/>
      <c r="E45" s="111"/>
      <c r="F45" s="111"/>
      <c r="G45" s="111"/>
      <c r="H45" s="111"/>
      <c r="I45" s="1221">
        <f t="shared" si="6"/>
        <v>0</v>
      </c>
      <c r="J45" s="87"/>
      <c r="K45" s="253"/>
      <c r="L45" s="253"/>
      <c r="M45" s="253"/>
      <c r="N45" s="253"/>
      <c r="O45" s="87"/>
      <c r="P45" s="1220"/>
    </row>
    <row r="46" spans="1:16" s="40" customFormat="1" ht="35.25" customHeight="1" x14ac:dyDescent="0.25">
      <c r="B46" s="25"/>
      <c r="C46" s="395" t="s">
        <v>145</v>
      </c>
      <c r="D46" s="37" t="s">
        <v>0</v>
      </c>
      <c r="E46" s="38">
        <f>+E41+E40+E39+E38+E37+E36+E32+E29+E28+E27+E26+E24+E21+E19+E18+E17+E16+E9+E8+E10</f>
        <v>1407.6000000000001</v>
      </c>
      <c r="F46" s="38">
        <f>+F41+F40+F39+F38+F37+F36+F32+F29+F28+F27+F26+F24+F21+F19+F18+F17+F16+F9+F8+F10</f>
        <v>1397.6000000000001</v>
      </c>
      <c r="G46" s="38">
        <f>+G41+G40+G39+G38+G37+G36+G32+G29+G28+G27+G26+G24+G21+G19+G18+G17+G16+G9+G8+G10</f>
        <v>2758</v>
      </c>
      <c r="H46" s="38">
        <f>+H41+H40+H39+H38+H37+H36+H32+H29+H28+H27+H26+H24+H21+H19+H18+H17+H16+H9+H8+H10</f>
        <v>1662</v>
      </c>
      <c r="I46" s="1221">
        <f t="shared" si="6"/>
        <v>-10</v>
      </c>
      <c r="J46" s="87"/>
      <c r="K46" s="253"/>
      <c r="L46" s="253"/>
      <c r="M46" s="253"/>
      <c r="N46" s="253"/>
      <c r="O46" s="87"/>
      <c r="P46" s="1220"/>
    </row>
    <row r="47" spans="1:16" s="40" customFormat="1" ht="27.75" customHeight="1" x14ac:dyDescent="0.25">
      <c r="B47" s="25"/>
      <c r="C47" s="395" t="s">
        <v>146</v>
      </c>
      <c r="D47" s="37" t="s">
        <v>3</v>
      </c>
      <c r="E47" s="38">
        <f>+E11+E14+E15+E20+E31+E34+E22+E12</f>
        <v>2888.7</v>
      </c>
      <c r="F47" s="38">
        <f t="shared" ref="F47:H47" si="8">+F11+F14+F15+F20+F31+F34+F22+F12</f>
        <v>3409.9999999999995</v>
      </c>
      <c r="G47" s="38">
        <f t="shared" si="8"/>
        <v>5634.1</v>
      </c>
      <c r="H47" s="38">
        <f t="shared" si="8"/>
        <v>1756</v>
      </c>
      <c r="I47" s="1221">
        <f t="shared" si="6"/>
        <v>521.29999999999973</v>
      </c>
      <c r="J47" s="87"/>
      <c r="K47" s="253"/>
      <c r="L47" s="253"/>
      <c r="M47" s="253"/>
      <c r="N47" s="253"/>
      <c r="O47" s="87"/>
      <c r="P47" s="1220"/>
    </row>
    <row r="48" spans="1:16" s="40" customFormat="1" ht="21" customHeight="1" x14ac:dyDescent="0.25">
      <c r="B48" s="25"/>
      <c r="C48" s="395" t="s">
        <v>147</v>
      </c>
      <c r="D48" s="37" t="s">
        <v>4</v>
      </c>
      <c r="E48" s="111"/>
      <c r="F48" s="111"/>
      <c r="G48" s="111"/>
      <c r="H48" s="111"/>
      <c r="I48" s="1221">
        <f t="shared" si="6"/>
        <v>0</v>
      </c>
      <c r="J48" s="87"/>
      <c r="K48" s="253"/>
      <c r="L48" s="253"/>
      <c r="M48" s="253"/>
      <c r="N48" s="253"/>
      <c r="O48" s="87"/>
      <c r="P48" s="1220"/>
    </row>
    <row r="49" spans="1:16" s="40" customFormat="1" ht="21" customHeight="1" x14ac:dyDescent="0.25">
      <c r="B49" s="25"/>
      <c r="C49" s="395" t="s">
        <v>148</v>
      </c>
      <c r="D49" s="37" t="s">
        <v>1</v>
      </c>
      <c r="E49" s="38">
        <f>+E25+E30+E33</f>
        <v>60</v>
      </c>
      <c r="F49" s="38">
        <f t="shared" ref="F49:H49" si="9">+F25+F30+F33</f>
        <v>255</v>
      </c>
      <c r="G49" s="38">
        <f t="shared" si="9"/>
        <v>335.9</v>
      </c>
      <c r="H49" s="38">
        <f t="shared" si="9"/>
        <v>185</v>
      </c>
      <c r="I49" s="1221">
        <f t="shared" si="6"/>
        <v>195</v>
      </c>
      <c r="J49" s="87"/>
      <c r="K49" s="253"/>
      <c r="L49" s="253"/>
      <c r="M49" s="253"/>
      <c r="N49" s="253"/>
      <c r="O49" s="87"/>
      <c r="P49" s="1220"/>
    </row>
    <row r="50" spans="1:16" s="40" customFormat="1" ht="21" customHeight="1" x14ac:dyDescent="0.25">
      <c r="B50" s="25"/>
      <c r="C50" s="395" t="s">
        <v>149</v>
      </c>
      <c r="D50" s="37" t="s">
        <v>2</v>
      </c>
      <c r="E50" s="111"/>
      <c r="F50" s="111"/>
      <c r="G50" s="111"/>
      <c r="H50" s="111"/>
      <c r="I50" s="1221">
        <f t="shared" si="6"/>
        <v>0</v>
      </c>
      <c r="J50" s="87"/>
      <c r="K50" s="253"/>
      <c r="L50" s="253"/>
      <c r="M50" s="253"/>
      <c r="N50" s="253"/>
      <c r="O50" s="87"/>
      <c r="P50" s="1220"/>
    </row>
    <row r="51" spans="1:16" s="40" customFormat="1" ht="21" customHeight="1" x14ac:dyDescent="0.25">
      <c r="B51" s="14"/>
      <c r="C51" s="396" t="s">
        <v>150</v>
      </c>
      <c r="D51" s="34" t="s">
        <v>154</v>
      </c>
      <c r="E51" s="111"/>
      <c r="F51" s="111"/>
      <c r="G51" s="111"/>
      <c r="H51" s="111"/>
      <c r="I51" s="1221">
        <f t="shared" si="6"/>
        <v>0</v>
      </c>
      <c r="J51" s="87"/>
      <c r="K51" s="253"/>
      <c r="L51" s="253"/>
      <c r="M51" s="253"/>
      <c r="N51" s="253"/>
      <c r="O51" s="87"/>
      <c r="P51" s="1220"/>
    </row>
    <row r="52" spans="1:16" s="40" customFormat="1" ht="57" customHeight="1" x14ac:dyDescent="0.25">
      <c r="B52" s="475"/>
      <c r="C52" s="476" t="s">
        <v>151</v>
      </c>
      <c r="D52" s="477" t="s">
        <v>155</v>
      </c>
      <c r="E52" s="474"/>
      <c r="F52" s="474"/>
      <c r="G52" s="474"/>
      <c r="H52" s="474"/>
      <c r="I52" s="1221">
        <f t="shared" si="6"/>
        <v>0</v>
      </c>
      <c r="J52" s="88"/>
      <c r="K52" s="254"/>
      <c r="L52" s="254"/>
      <c r="M52" s="254"/>
      <c r="N52" s="254"/>
      <c r="O52" s="88"/>
      <c r="P52" s="1220"/>
    </row>
    <row r="53" spans="1:16" s="40" customFormat="1" ht="34.5" customHeight="1" x14ac:dyDescent="0.25">
      <c r="B53" s="519"/>
      <c r="C53" s="520" t="s">
        <v>153</v>
      </c>
      <c r="D53" s="404"/>
      <c r="E53" s="478">
        <f t="shared" ref="E53:H53" si="10">+E52+E44</f>
        <v>4356.3</v>
      </c>
      <c r="F53" s="478">
        <f t="shared" si="10"/>
        <v>5062.5999999999995</v>
      </c>
      <c r="G53" s="478">
        <f t="shared" si="10"/>
        <v>8728</v>
      </c>
      <c r="H53" s="478">
        <f t="shared" si="10"/>
        <v>3603</v>
      </c>
      <c r="I53" s="1221">
        <f t="shared" si="6"/>
        <v>706.29999999999927</v>
      </c>
      <c r="J53" s="88"/>
      <c r="K53" s="254"/>
      <c r="L53" s="254"/>
      <c r="M53" s="254"/>
      <c r="N53" s="254"/>
      <c r="O53" s="88"/>
      <c r="P53" s="1220"/>
    </row>
    <row r="54" spans="1:16" s="43" customFormat="1" ht="18.75" customHeight="1" x14ac:dyDescent="0.25">
      <c r="B54" s="36"/>
      <c r="C54" s="397" t="s">
        <v>152</v>
      </c>
      <c r="D54" s="35"/>
      <c r="E54" s="126">
        <f>+E25</f>
        <v>60</v>
      </c>
      <c r="F54" s="126">
        <f t="shared" ref="F54:H54" si="11">+F25</f>
        <v>255</v>
      </c>
      <c r="G54" s="126">
        <f t="shared" si="11"/>
        <v>285</v>
      </c>
      <c r="H54" s="126">
        <f t="shared" si="11"/>
        <v>185</v>
      </c>
      <c r="I54" s="1221"/>
      <c r="J54" s="85"/>
      <c r="K54" s="255"/>
      <c r="L54" s="255"/>
      <c r="M54" s="255"/>
      <c r="N54" s="255"/>
      <c r="O54" s="85"/>
    </row>
    <row r="55" spans="1:16" s="16" customFormat="1" ht="27" x14ac:dyDescent="0.2">
      <c r="A55" s="44"/>
      <c r="B55" s="36"/>
      <c r="C55" s="397" t="s">
        <v>173</v>
      </c>
      <c r="D55" s="35"/>
      <c r="E55" s="126">
        <f>+((E53*100)/4947.9)-100</f>
        <v>-11.956587643242585</v>
      </c>
      <c r="F55" s="126">
        <v>0.82</v>
      </c>
      <c r="G55" s="126">
        <f>+((G53*100)/F53)-100</f>
        <v>72.401532809228485</v>
      </c>
      <c r="H55" s="126">
        <f>+((H53*100)/G53)-100</f>
        <v>-58.719065077910173</v>
      </c>
      <c r="I55" s="689"/>
      <c r="J55" s="85"/>
      <c r="K55" s="255"/>
      <c r="L55" s="255"/>
      <c r="M55" s="255"/>
      <c r="N55" s="255"/>
      <c r="O55" s="85"/>
      <c r="P55" s="1219"/>
    </row>
    <row r="56" spans="1:16" s="1174" customFormat="1" ht="21" customHeight="1" x14ac:dyDescent="0.25">
      <c r="B56" s="1179" t="s">
        <v>1092</v>
      </c>
      <c r="C56" s="1179"/>
      <c r="D56" s="1179"/>
      <c r="E56" s="1179"/>
      <c r="F56" s="1179"/>
      <c r="G56" s="1179"/>
      <c r="H56" s="1179"/>
      <c r="I56" s="1170"/>
      <c r="J56" s="1171"/>
      <c r="K56" s="1172"/>
      <c r="L56" s="1172"/>
      <c r="M56" s="1172"/>
      <c r="N56" s="1172"/>
      <c r="O56" s="1173"/>
      <c r="P56" s="1204"/>
    </row>
    <row r="57" spans="1:16" s="1174" customFormat="1" ht="35.25" customHeight="1" x14ac:dyDescent="0.25">
      <c r="B57" s="1184" t="s">
        <v>1095</v>
      </c>
      <c r="C57" s="1185"/>
      <c r="D57" s="1180"/>
      <c r="E57" s="1180"/>
      <c r="F57" s="1180"/>
      <c r="G57" s="1180"/>
      <c r="H57" s="1186"/>
      <c r="I57" s="1170"/>
      <c r="J57" s="1171"/>
      <c r="K57" s="1172"/>
      <c r="L57" s="1172"/>
      <c r="M57" s="1172"/>
      <c r="N57" s="1172"/>
      <c r="O57" s="1173"/>
      <c r="P57" s="1204"/>
    </row>
    <row r="58" spans="1:16" s="1174" customFormat="1" ht="24.75" customHeight="1" x14ac:dyDescent="0.25">
      <c r="B58" s="1181" t="s">
        <v>1094</v>
      </c>
      <c r="C58" s="1181"/>
      <c r="D58" s="1181"/>
      <c r="E58" s="1187"/>
      <c r="F58" s="1188"/>
      <c r="G58" s="1188"/>
      <c r="H58" s="1188"/>
      <c r="I58" s="1175"/>
      <c r="J58" s="1176"/>
      <c r="K58" s="1177"/>
      <c r="L58" s="1177"/>
      <c r="M58" s="1177"/>
      <c r="N58" s="1177"/>
      <c r="O58" s="1178"/>
      <c r="P58" s="1204"/>
    </row>
    <row r="59" spans="1:16" x14ac:dyDescent="0.2">
      <c r="C59" s="276"/>
      <c r="E59" s="139"/>
      <c r="F59" s="139"/>
      <c r="G59" s="139"/>
      <c r="H59" s="139"/>
    </row>
    <row r="60" spans="1:16" x14ac:dyDescent="0.2">
      <c r="F60" s="139"/>
    </row>
  </sheetData>
  <mergeCells count="56">
    <mergeCell ref="P4:P6"/>
    <mergeCell ref="B56:H56"/>
    <mergeCell ref="L24:L25"/>
    <mergeCell ref="L29:L31"/>
    <mergeCell ref="L32:L34"/>
    <mergeCell ref="O4:O6"/>
    <mergeCell ref="O21:O22"/>
    <mergeCell ref="O24:O25"/>
    <mergeCell ref="O29:O31"/>
    <mergeCell ref="O32:O34"/>
    <mergeCell ref="M32:M34"/>
    <mergeCell ref="N32:N34"/>
    <mergeCell ref="M24:M25"/>
    <mergeCell ref="M5:M6"/>
    <mergeCell ref="K29:K31"/>
    <mergeCell ref="M29:M31"/>
    <mergeCell ref="N29:N31"/>
    <mergeCell ref="K24:K25"/>
    <mergeCell ref="N24:N25"/>
    <mergeCell ref="K32:K34"/>
    <mergeCell ref="B24:B25"/>
    <mergeCell ref="C24:C25"/>
    <mergeCell ref="A43:D43"/>
    <mergeCell ref="A42:D42"/>
    <mergeCell ref="I29:I31"/>
    <mergeCell ref="I32:I34"/>
    <mergeCell ref="B32:B34"/>
    <mergeCell ref="B29:B31"/>
    <mergeCell ref="C32:C34"/>
    <mergeCell ref="C29:C31"/>
    <mergeCell ref="J24:J25"/>
    <mergeCell ref="J29:J31"/>
    <mergeCell ref="J32:J34"/>
    <mergeCell ref="B21:B22"/>
    <mergeCell ref="C1:N1"/>
    <mergeCell ref="J4:J6"/>
    <mergeCell ref="B2:N2"/>
    <mergeCell ref="K5:K6"/>
    <mergeCell ref="C4:D6"/>
    <mergeCell ref="H4:H6"/>
    <mergeCell ref="B4:B6"/>
    <mergeCell ref="I4:I6"/>
    <mergeCell ref="C13:D13"/>
    <mergeCell ref="G4:G6"/>
    <mergeCell ref="C7:D7"/>
    <mergeCell ref="E4:E6"/>
    <mergeCell ref="C21:C22"/>
    <mergeCell ref="K4:N4"/>
    <mergeCell ref="N5:N6"/>
    <mergeCell ref="J21:J22"/>
    <mergeCell ref="K21:K22"/>
    <mergeCell ref="M21:M22"/>
    <mergeCell ref="N21:N22"/>
    <mergeCell ref="F4:F6"/>
    <mergeCell ref="L5:L6"/>
    <mergeCell ref="L21:L22"/>
  </mergeCells>
  <phoneticPr fontId="9" type="noConversion"/>
  <pageMargins left="0.19685039370078741" right="0.19685039370078741" top="0.51181102362204722" bottom="0.19685039370078741" header="0" footer="0"/>
  <pageSetup paperSize="9" scale="4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  <pageSetUpPr fitToPage="1"/>
  </sheetPr>
  <dimension ref="B1:P47"/>
  <sheetViews>
    <sheetView zoomScale="85" zoomScaleNormal="85" workbookViewId="0">
      <pane ySplit="2" topLeftCell="A3" activePane="bottomLeft" state="frozen"/>
      <selection activeCell="C27" sqref="C27:C28"/>
      <selection pane="bottomLeft" activeCell="B45" sqref="B45:H47"/>
    </sheetView>
  </sheetViews>
  <sheetFormatPr defaultColWidth="9.140625" defaultRowHeight="15" x14ac:dyDescent="0.25"/>
  <cols>
    <col min="1" max="1" width="4" style="73" customWidth="1"/>
    <col min="2" max="2" width="16.85546875" style="117" customWidth="1"/>
    <col min="3" max="3" width="54.140625" style="127" customWidth="1"/>
    <col min="4" max="4" width="8.28515625" style="234" customWidth="1"/>
    <col min="5" max="5" width="12.5703125" style="40" customWidth="1"/>
    <col min="6" max="6" width="17.7109375" style="40" customWidth="1"/>
    <col min="7" max="7" width="13.28515625" style="40" customWidth="1"/>
    <col min="8" max="8" width="12.7109375" style="40" customWidth="1"/>
    <col min="9" max="9" width="11.85546875" style="242" customWidth="1"/>
    <col min="10" max="10" width="44.42578125" style="127" customWidth="1"/>
    <col min="11" max="11" width="10.42578125" style="235" customWidth="1"/>
    <col min="12" max="12" width="10.5703125" style="235" customWidth="1"/>
    <col min="13" max="13" width="11" style="235" customWidth="1"/>
    <col min="14" max="14" width="50" style="127" customWidth="1"/>
    <col min="15" max="15" width="8.42578125" style="1222" customWidth="1"/>
    <col min="16" max="16384" width="9.140625" style="73"/>
  </cols>
  <sheetData>
    <row r="1" spans="2:15" ht="30.75" customHeight="1" x14ac:dyDescent="0.2">
      <c r="B1" s="748" t="s">
        <v>936</v>
      </c>
      <c r="C1" s="748"/>
      <c r="D1" s="748"/>
      <c r="E1" s="748"/>
      <c r="F1" s="748"/>
      <c r="G1" s="748"/>
      <c r="H1" s="748"/>
      <c r="I1" s="748"/>
      <c r="J1" s="748"/>
      <c r="K1" s="748"/>
      <c r="L1" s="748"/>
      <c r="M1" s="748"/>
      <c r="N1" s="73"/>
    </row>
    <row r="2" spans="2:15" ht="15.75" customHeight="1" x14ac:dyDescent="0.25">
      <c r="B2" s="114"/>
      <c r="C2" s="198"/>
      <c r="D2" s="199"/>
      <c r="E2" s="200"/>
      <c r="F2" s="200"/>
      <c r="G2" s="200"/>
      <c r="H2" s="200"/>
      <c r="I2" s="236"/>
      <c r="J2" s="198"/>
      <c r="K2" s="201"/>
      <c r="L2" s="201"/>
      <c r="M2" s="201"/>
      <c r="N2" s="198"/>
    </row>
    <row r="3" spans="2:15" ht="30.75" customHeight="1" x14ac:dyDescent="0.2">
      <c r="B3" s="756" t="s">
        <v>27</v>
      </c>
      <c r="C3" s="762" t="s">
        <v>68</v>
      </c>
      <c r="D3" s="515"/>
      <c r="E3" s="822" t="s">
        <v>1091</v>
      </c>
      <c r="F3" s="784" t="s">
        <v>945</v>
      </c>
      <c r="G3" s="742" t="s">
        <v>266</v>
      </c>
      <c r="H3" s="742" t="s">
        <v>856</v>
      </c>
      <c r="I3" s="741" t="s">
        <v>174</v>
      </c>
      <c r="J3" s="742" t="s">
        <v>697</v>
      </c>
      <c r="K3" s="766" t="s">
        <v>863</v>
      </c>
      <c r="L3" s="767"/>
      <c r="M3" s="768"/>
      <c r="N3" s="787" t="s">
        <v>946</v>
      </c>
      <c r="O3" s="1202" t="s">
        <v>1096</v>
      </c>
    </row>
    <row r="4" spans="2:15" ht="15" customHeight="1" x14ac:dyDescent="0.2">
      <c r="B4" s="757"/>
      <c r="C4" s="763"/>
      <c r="D4" s="516"/>
      <c r="E4" s="823"/>
      <c r="F4" s="785"/>
      <c r="G4" s="743"/>
      <c r="H4" s="743"/>
      <c r="I4" s="741"/>
      <c r="J4" s="743"/>
      <c r="K4" s="769" t="s">
        <v>455</v>
      </c>
      <c r="L4" s="769" t="s">
        <v>456</v>
      </c>
      <c r="M4" s="769" t="s">
        <v>721</v>
      </c>
      <c r="N4" s="788"/>
      <c r="O4" s="1202"/>
    </row>
    <row r="5" spans="2:15" ht="51.75" customHeight="1" x14ac:dyDescent="0.2">
      <c r="B5" s="758"/>
      <c r="C5" s="764"/>
      <c r="D5" s="517"/>
      <c r="E5" s="824"/>
      <c r="F5" s="786"/>
      <c r="G5" s="744"/>
      <c r="H5" s="744"/>
      <c r="I5" s="741"/>
      <c r="J5" s="744"/>
      <c r="K5" s="770"/>
      <c r="L5" s="770"/>
      <c r="M5" s="770"/>
      <c r="N5" s="789"/>
      <c r="O5" s="1202"/>
    </row>
    <row r="6" spans="2:15" ht="86.25" customHeight="1" x14ac:dyDescent="0.2">
      <c r="B6" s="509" t="s">
        <v>70</v>
      </c>
      <c r="C6" s="765" t="s">
        <v>929</v>
      </c>
      <c r="D6" s="765"/>
      <c r="E6" s="510">
        <f t="shared" ref="E6:H6" si="0">SUM(E7:E22)</f>
        <v>10134.4</v>
      </c>
      <c r="F6" s="510">
        <f t="shared" si="0"/>
        <v>10122.1</v>
      </c>
      <c r="G6" s="510">
        <f t="shared" si="0"/>
        <v>11018.9</v>
      </c>
      <c r="H6" s="510">
        <f t="shared" si="0"/>
        <v>11705.9</v>
      </c>
      <c r="I6" s="511"/>
      <c r="J6" s="512" t="s">
        <v>912</v>
      </c>
      <c r="K6" s="513">
        <v>100</v>
      </c>
      <c r="L6" s="513">
        <v>100</v>
      </c>
      <c r="M6" s="513">
        <v>100</v>
      </c>
      <c r="N6" s="512"/>
    </row>
    <row r="7" spans="2:15" ht="54" customHeight="1" x14ac:dyDescent="0.2">
      <c r="B7" s="750" t="s">
        <v>98</v>
      </c>
      <c r="C7" s="752" t="s">
        <v>166</v>
      </c>
      <c r="D7" s="754" t="s">
        <v>0</v>
      </c>
      <c r="E7" s="745">
        <v>776.8</v>
      </c>
      <c r="F7" s="745">
        <v>776.8</v>
      </c>
      <c r="G7" s="745">
        <v>800</v>
      </c>
      <c r="H7" s="202">
        <v>815</v>
      </c>
      <c r="I7" s="739" t="s">
        <v>236</v>
      </c>
      <c r="J7" s="203" t="s">
        <v>663</v>
      </c>
      <c r="K7" s="204" t="s">
        <v>656</v>
      </c>
      <c r="L7" s="204" t="s">
        <v>656</v>
      </c>
      <c r="M7" s="204" t="s">
        <v>656</v>
      </c>
      <c r="N7" s="203"/>
      <c r="O7" s="1223">
        <f>+F7-E7</f>
        <v>0</v>
      </c>
    </row>
    <row r="8" spans="2:15" ht="48" customHeight="1" x14ac:dyDescent="0.2">
      <c r="B8" s="751"/>
      <c r="C8" s="753"/>
      <c r="D8" s="755"/>
      <c r="E8" s="747"/>
      <c r="F8" s="747"/>
      <c r="G8" s="747"/>
      <c r="H8" s="206"/>
      <c r="I8" s="740"/>
      <c r="J8" s="207" t="s">
        <v>711</v>
      </c>
      <c r="K8" s="208">
        <v>100</v>
      </c>
      <c r="L8" s="208">
        <v>100</v>
      </c>
      <c r="M8" s="208">
        <v>100</v>
      </c>
      <c r="N8" s="207"/>
      <c r="O8" s="1223">
        <f t="shared" ref="O8:O31" si="1">+F8-E8</f>
        <v>0</v>
      </c>
    </row>
    <row r="9" spans="2:15" ht="36.75" customHeight="1" x14ac:dyDescent="0.2">
      <c r="B9" s="102" t="s">
        <v>97</v>
      </c>
      <c r="C9" s="209" t="s">
        <v>80</v>
      </c>
      <c r="D9" s="210" t="s">
        <v>0</v>
      </c>
      <c r="E9" s="125">
        <v>228.1</v>
      </c>
      <c r="F9" s="125">
        <v>228.1</v>
      </c>
      <c r="G9" s="125">
        <v>240</v>
      </c>
      <c r="H9" s="125">
        <v>245</v>
      </c>
      <c r="I9" s="46" t="s">
        <v>235</v>
      </c>
      <c r="J9" s="209" t="s">
        <v>655</v>
      </c>
      <c r="K9" s="211">
        <v>100</v>
      </c>
      <c r="L9" s="211">
        <v>100</v>
      </c>
      <c r="M9" s="211">
        <v>100</v>
      </c>
      <c r="N9" s="209"/>
      <c r="O9" s="1223">
        <f t="shared" si="1"/>
        <v>0</v>
      </c>
    </row>
    <row r="10" spans="2:15" ht="33.75" customHeight="1" x14ac:dyDescent="0.2">
      <c r="B10" s="759" t="s">
        <v>96</v>
      </c>
      <c r="C10" s="749" t="s">
        <v>134</v>
      </c>
      <c r="D10" s="212" t="s">
        <v>4</v>
      </c>
      <c r="E10" s="125">
        <v>17.3</v>
      </c>
      <c r="F10" s="125">
        <v>17.3</v>
      </c>
      <c r="G10" s="125">
        <v>17.3</v>
      </c>
      <c r="H10" s="125">
        <v>17.3</v>
      </c>
      <c r="I10" s="237" t="s">
        <v>240</v>
      </c>
      <c r="J10" s="782" t="s">
        <v>670</v>
      </c>
      <c r="K10" s="780" t="s">
        <v>866</v>
      </c>
      <c r="L10" s="780" t="s">
        <v>866</v>
      </c>
      <c r="M10" s="780" t="s">
        <v>866</v>
      </c>
      <c r="N10" s="782"/>
      <c r="O10" s="1223">
        <f t="shared" si="1"/>
        <v>0</v>
      </c>
    </row>
    <row r="11" spans="2:15" ht="36" customHeight="1" x14ac:dyDescent="0.2">
      <c r="B11" s="760"/>
      <c r="C11" s="749"/>
      <c r="D11" s="754" t="s">
        <v>0</v>
      </c>
      <c r="E11" s="745">
        <f>6853.9-0.5-10</f>
        <v>6843.4</v>
      </c>
      <c r="F11" s="745">
        <f>6853.9-0.5-10</f>
        <v>6843.4</v>
      </c>
      <c r="G11" s="745">
        <v>7300</v>
      </c>
      <c r="H11" s="745">
        <v>7800</v>
      </c>
      <c r="I11" s="238" t="s">
        <v>237</v>
      </c>
      <c r="J11" s="782"/>
      <c r="K11" s="780"/>
      <c r="L11" s="780"/>
      <c r="M11" s="780"/>
      <c r="N11" s="782"/>
      <c r="O11" s="1223">
        <f t="shared" si="1"/>
        <v>0</v>
      </c>
    </row>
    <row r="12" spans="2:15" s="116" customFormat="1" ht="40.5" customHeight="1" x14ac:dyDescent="0.2">
      <c r="B12" s="97" t="s">
        <v>95</v>
      </c>
      <c r="C12" s="213" t="s">
        <v>136</v>
      </c>
      <c r="D12" s="761"/>
      <c r="E12" s="746"/>
      <c r="F12" s="746"/>
      <c r="G12" s="746"/>
      <c r="H12" s="746"/>
      <c r="I12" s="238" t="s">
        <v>672</v>
      </c>
      <c r="J12" s="213" t="s">
        <v>658</v>
      </c>
      <c r="K12" s="214" t="s">
        <v>470</v>
      </c>
      <c r="L12" s="214" t="s">
        <v>470</v>
      </c>
      <c r="M12" s="214" t="s">
        <v>470</v>
      </c>
      <c r="N12" s="213"/>
      <c r="O12" s="1223">
        <f t="shared" si="1"/>
        <v>0</v>
      </c>
    </row>
    <row r="13" spans="2:15" s="116" customFormat="1" ht="32.25" customHeight="1" x14ac:dyDescent="0.2">
      <c r="B13" s="97" t="s">
        <v>404</v>
      </c>
      <c r="C13" s="213" t="s">
        <v>172</v>
      </c>
      <c r="D13" s="761"/>
      <c r="E13" s="746"/>
      <c r="F13" s="746"/>
      <c r="G13" s="746"/>
      <c r="H13" s="746"/>
      <c r="I13" s="238" t="s">
        <v>238</v>
      </c>
      <c r="J13" s="213" t="s">
        <v>657</v>
      </c>
      <c r="K13" s="214" t="s">
        <v>470</v>
      </c>
      <c r="L13" s="214" t="s">
        <v>470</v>
      </c>
      <c r="M13" s="214" t="s">
        <v>470</v>
      </c>
      <c r="N13" s="213"/>
      <c r="O13" s="1223">
        <f t="shared" si="1"/>
        <v>0</v>
      </c>
    </row>
    <row r="14" spans="2:15" s="116" customFormat="1" ht="42" customHeight="1" x14ac:dyDescent="0.2">
      <c r="B14" s="97" t="s">
        <v>405</v>
      </c>
      <c r="C14" s="213" t="s">
        <v>171</v>
      </c>
      <c r="D14" s="761"/>
      <c r="E14" s="746"/>
      <c r="F14" s="746"/>
      <c r="G14" s="746"/>
      <c r="H14" s="746"/>
      <c r="I14" s="238" t="s">
        <v>239</v>
      </c>
      <c r="J14" s="213" t="s">
        <v>865</v>
      </c>
      <c r="K14" s="214" t="s">
        <v>671</v>
      </c>
      <c r="L14" s="214" t="s">
        <v>671</v>
      </c>
      <c r="M14" s="214" t="s">
        <v>671</v>
      </c>
      <c r="N14" s="213"/>
      <c r="O14" s="1223">
        <f t="shared" si="1"/>
        <v>0</v>
      </c>
    </row>
    <row r="15" spans="2:15" s="116" customFormat="1" ht="50.25" customHeight="1" x14ac:dyDescent="0.2">
      <c r="B15" s="72" t="s">
        <v>406</v>
      </c>
      <c r="C15" s="213" t="s">
        <v>138</v>
      </c>
      <c r="D15" s="761"/>
      <c r="E15" s="746"/>
      <c r="F15" s="746"/>
      <c r="G15" s="746"/>
      <c r="H15" s="746"/>
      <c r="I15" s="238"/>
      <c r="J15" s="215" t="s">
        <v>661</v>
      </c>
      <c r="K15" s="214" t="s">
        <v>587</v>
      </c>
      <c r="L15" s="214" t="s">
        <v>559</v>
      </c>
      <c r="M15" s="214" t="s">
        <v>466</v>
      </c>
      <c r="N15" s="215"/>
      <c r="O15" s="1223">
        <f t="shared" si="1"/>
        <v>0</v>
      </c>
    </row>
    <row r="16" spans="2:15" s="116" customFormat="1" ht="38.25" customHeight="1" x14ac:dyDescent="0.2">
      <c r="B16" s="72" t="s">
        <v>407</v>
      </c>
      <c r="C16" s="213" t="s">
        <v>139</v>
      </c>
      <c r="D16" s="755"/>
      <c r="E16" s="747"/>
      <c r="F16" s="747"/>
      <c r="G16" s="747"/>
      <c r="H16" s="747"/>
      <c r="I16" s="239" t="s">
        <v>243</v>
      </c>
      <c r="J16" s="215" t="s">
        <v>660</v>
      </c>
      <c r="K16" s="216">
        <v>100</v>
      </c>
      <c r="L16" s="216">
        <v>100</v>
      </c>
      <c r="M16" s="216">
        <v>100</v>
      </c>
      <c r="N16" s="215"/>
      <c r="O16" s="1223">
        <f t="shared" si="1"/>
        <v>0</v>
      </c>
    </row>
    <row r="17" spans="2:15" ht="37.5" customHeight="1" x14ac:dyDescent="0.2">
      <c r="B17" s="102" t="s">
        <v>411</v>
      </c>
      <c r="C17" s="205" t="s">
        <v>137</v>
      </c>
      <c r="D17" s="217" t="s">
        <v>0</v>
      </c>
      <c r="E17" s="120">
        <f>36.5+10</f>
        <v>46.5</v>
      </c>
      <c r="F17" s="120">
        <f>36.5+10</f>
        <v>46.5</v>
      </c>
      <c r="G17" s="120">
        <v>53</v>
      </c>
      <c r="H17" s="218">
        <v>60</v>
      </c>
      <c r="I17" s="47" t="s">
        <v>234</v>
      </c>
      <c r="J17" s="217" t="s">
        <v>659</v>
      </c>
      <c r="K17" s="219" t="s">
        <v>864</v>
      </c>
      <c r="L17" s="219" t="s">
        <v>864</v>
      </c>
      <c r="M17" s="219" t="s">
        <v>864</v>
      </c>
      <c r="N17" s="217"/>
      <c r="O17" s="1223">
        <f t="shared" si="1"/>
        <v>0</v>
      </c>
    </row>
    <row r="18" spans="2:15" ht="67.5" customHeight="1" x14ac:dyDescent="0.2">
      <c r="B18" s="102" t="s">
        <v>408</v>
      </c>
      <c r="C18" s="217" t="s">
        <v>1021</v>
      </c>
      <c r="D18" s="220" t="s">
        <v>0</v>
      </c>
      <c r="E18" s="221">
        <v>420</v>
      </c>
      <c r="F18" s="221">
        <v>420</v>
      </c>
      <c r="G18" s="221">
        <v>420</v>
      </c>
      <c r="H18" s="221">
        <v>420</v>
      </c>
      <c r="I18" s="240" t="s">
        <v>242</v>
      </c>
      <c r="J18" s="217" t="s">
        <v>700</v>
      </c>
      <c r="K18" s="219" t="s">
        <v>867</v>
      </c>
      <c r="L18" s="219" t="s">
        <v>868</v>
      </c>
      <c r="M18" s="219" t="s">
        <v>869</v>
      </c>
      <c r="N18" s="217"/>
      <c r="O18" s="1223">
        <f t="shared" si="1"/>
        <v>0</v>
      </c>
    </row>
    <row r="19" spans="2:15" ht="24" customHeight="1" x14ac:dyDescent="0.2">
      <c r="B19" s="773" t="s">
        <v>409</v>
      </c>
      <c r="C19" s="777" t="s">
        <v>135</v>
      </c>
      <c r="D19" s="217" t="s">
        <v>0</v>
      </c>
      <c r="E19" s="121">
        <v>1432.7</v>
      </c>
      <c r="F19" s="121">
        <v>1432.7</v>
      </c>
      <c r="G19" s="121">
        <v>1800</v>
      </c>
      <c r="H19" s="121">
        <v>1950</v>
      </c>
      <c r="I19" s="739" t="s">
        <v>240</v>
      </c>
      <c r="J19" s="783" t="s">
        <v>662</v>
      </c>
      <c r="K19" s="781" t="s">
        <v>476</v>
      </c>
      <c r="L19" s="781" t="s">
        <v>476</v>
      </c>
      <c r="M19" s="781" t="s">
        <v>476</v>
      </c>
      <c r="N19" s="778" t="s">
        <v>1068</v>
      </c>
      <c r="O19" s="1223">
        <f t="shared" si="1"/>
        <v>0</v>
      </c>
    </row>
    <row r="20" spans="2:15" ht="21.75" customHeight="1" x14ac:dyDescent="0.2">
      <c r="B20" s="774"/>
      <c r="C20" s="777"/>
      <c r="D20" s="217" t="s">
        <v>4</v>
      </c>
      <c r="E20" s="121">
        <v>105</v>
      </c>
      <c r="F20" s="688">
        <v>92.7</v>
      </c>
      <c r="G20" s="121">
        <v>105</v>
      </c>
      <c r="H20" s="121">
        <v>105</v>
      </c>
      <c r="I20" s="740"/>
      <c r="J20" s="783"/>
      <c r="K20" s="781"/>
      <c r="L20" s="781"/>
      <c r="M20" s="781"/>
      <c r="N20" s="778"/>
      <c r="O20" s="1223">
        <f t="shared" si="1"/>
        <v>-12.299999999999997</v>
      </c>
    </row>
    <row r="21" spans="2:15" ht="30.75" customHeight="1" x14ac:dyDescent="0.2">
      <c r="B21" s="102" t="s">
        <v>410</v>
      </c>
      <c r="C21" s="217" t="s">
        <v>133</v>
      </c>
      <c r="D21" s="217" t="s">
        <v>0</v>
      </c>
      <c r="E21" s="120">
        <v>33.6</v>
      </c>
      <c r="F21" s="120">
        <v>33.6</v>
      </c>
      <c r="G21" s="120">
        <v>33.6</v>
      </c>
      <c r="H21" s="218">
        <v>33.6</v>
      </c>
      <c r="I21" s="47" t="s">
        <v>327</v>
      </c>
      <c r="J21" s="222" t="s">
        <v>828</v>
      </c>
      <c r="K21" s="219" t="s">
        <v>654</v>
      </c>
      <c r="L21" s="219" t="s">
        <v>654</v>
      </c>
      <c r="M21" s="219" t="s">
        <v>654</v>
      </c>
      <c r="N21" s="222"/>
      <c r="O21" s="1223">
        <f t="shared" si="1"/>
        <v>0</v>
      </c>
    </row>
    <row r="22" spans="2:15" s="92" customFormat="1" ht="37.5" customHeight="1" x14ac:dyDescent="0.2">
      <c r="B22" s="102" t="s">
        <v>825</v>
      </c>
      <c r="C22" s="223" t="s">
        <v>326</v>
      </c>
      <c r="D22" s="223" t="s">
        <v>3</v>
      </c>
      <c r="E22" s="224">
        <v>231</v>
      </c>
      <c r="F22" s="224">
        <v>231</v>
      </c>
      <c r="G22" s="224">
        <v>250</v>
      </c>
      <c r="H22" s="224">
        <v>260</v>
      </c>
      <c r="I22" s="46" t="s">
        <v>241</v>
      </c>
      <c r="J22" s="223" t="s">
        <v>668</v>
      </c>
      <c r="K22" s="204">
        <v>12</v>
      </c>
      <c r="L22" s="204">
        <v>12</v>
      </c>
      <c r="M22" s="204">
        <v>12</v>
      </c>
      <c r="N22" s="223"/>
      <c r="O22" s="1223">
        <f t="shared" si="1"/>
        <v>0</v>
      </c>
    </row>
    <row r="23" spans="2:15" ht="72" customHeight="1" x14ac:dyDescent="0.2">
      <c r="B23" s="498" t="s">
        <v>74</v>
      </c>
      <c r="C23" s="504" t="s">
        <v>5</v>
      </c>
      <c r="D23" s="504"/>
      <c r="E23" s="503">
        <f t="shared" ref="E23:H23" si="2">SUM(E24:E28)</f>
        <v>2937.8</v>
      </c>
      <c r="F23" s="503">
        <f t="shared" si="2"/>
        <v>2937.8</v>
      </c>
      <c r="G23" s="503">
        <f t="shared" si="2"/>
        <v>2881.8999999999996</v>
      </c>
      <c r="H23" s="503">
        <f t="shared" si="2"/>
        <v>3324.8999999999996</v>
      </c>
      <c r="I23" s="505"/>
      <c r="J23" s="504" t="s">
        <v>664</v>
      </c>
      <c r="K23" s="506">
        <v>100</v>
      </c>
      <c r="L23" s="506">
        <v>100</v>
      </c>
      <c r="M23" s="506">
        <v>100</v>
      </c>
      <c r="N23" s="504"/>
      <c r="O23" s="1223">
        <f t="shared" si="1"/>
        <v>0</v>
      </c>
    </row>
    <row r="24" spans="2:15" ht="33.75" customHeight="1" x14ac:dyDescent="0.2">
      <c r="B24" s="102" t="s">
        <v>273</v>
      </c>
      <c r="C24" s="217" t="s">
        <v>76</v>
      </c>
      <c r="D24" s="217" t="s">
        <v>0</v>
      </c>
      <c r="E24" s="125">
        <v>170</v>
      </c>
      <c r="F24" s="125">
        <v>170</v>
      </c>
      <c r="G24" s="125">
        <v>170</v>
      </c>
      <c r="H24" s="125">
        <v>170</v>
      </c>
      <c r="I24" s="46"/>
      <c r="J24" s="225" t="s">
        <v>650</v>
      </c>
      <c r="K24" s="204">
        <v>100</v>
      </c>
      <c r="L24" s="204">
        <v>100</v>
      </c>
      <c r="M24" s="204">
        <v>100</v>
      </c>
      <c r="N24" s="225"/>
      <c r="O24" s="1223">
        <f t="shared" si="1"/>
        <v>0</v>
      </c>
    </row>
    <row r="25" spans="2:15" ht="36.75" customHeight="1" x14ac:dyDescent="0.2">
      <c r="B25" s="102" t="s">
        <v>94</v>
      </c>
      <c r="C25" s="217" t="s">
        <v>77</v>
      </c>
      <c r="D25" s="217" t="s">
        <v>0</v>
      </c>
      <c r="E25" s="123">
        <v>29</v>
      </c>
      <c r="F25" s="123">
        <v>29</v>
      </c>
      <c r="G25" s="123">
        <v>29</v>
      </c>
      <c r="H25" s="123">
        <v>29</v>
      </c>
      <c r="I25" s="46"/>
      <c r="J25" s="225" t="s">
        <v>651</v>
      </c>
      <c r="K25" s="204">
        <v>100</v>
      </c>
      <c r="L25" s="204">
        <v>100</v>
      </c>
      <c r="M25" s="204">
        <v>100</v>
      </c>
      <c r="N25" s="225"/>
      <c r="O25" s="1223">
        <f t="shared" si="1"/>
        <v>0</v>
      </c>
    </row>
    <row r="26" spans="2:15" ht="24.75" customHeight="1" x14ac:dyDescent="0.2">
      <c r="B26" s="775" t="s">
        <v>93</v>
      </c>
      <c r="C26" s="776" t="s">
        <v>930</v>
      </c>
      <c r="D26" s="217" t="s">
        <v>0</v>
      </c>
      <c r="E26" s="125">
        <v>430</v>
      </c>
      <c r="F26" s="125">
        <v>430</v>
      </c>
      <c r="G26" s="125">
        <v>430</v>
      </c>
      <c r="H26" s="125">
        <v>430</v>
      </c>
      <c r="I26" s="46"/>
      <c r="J26" s="779" t="s">
        <v>652</v>
      </c>
      <c r="K26" s="738">
        <v>100</v>
      </c>
      <c r="L26" s="738">
        <v>100</v>
      </c>
      <c r="M26" s="738">
        <v>100</v>
      </c>
      <c r="N26" s="779"/>
      <c r="O26" s="1223">
        <f t="shared" si="1"/>
        <v>0</v>
      </c>
    </row>
    <row r="27" spans="2:15" ht="24.75" customHeight="1" x14ac:dyDescent="0.2">
      <c r="B27" s="775"/>
      <c r="C27" s="776"/>
      <c r="D27" s="217" t="s">
        <v>0</v>
      </c>
      <c r="E27" s="125">
        <v>75.8</v>
      </c>
      <c r="F27" s="125">
        <v>75.8</v>
      </c>
      <c r="G27" s="125">
        <v>75.8</v>
      </c>
      <c r="H27" s="125">
        <v>75.8</v>
      </c>
      <c r="I27" s="46"/>
      <c r="J27" s="779"/>
      <c r="K27" s="738"/>
      <c r="L27" s="738"/>
      <c r="M27" s="738"/>
      <c r="N27" s="779"/>
      <c r="O27" s="1223">
        <f t="shared" si="1"/>
        <v>0</v>
      </c>
    </row>
    <row r="28" spans="2:15" ht="24.75" customHeight="1" x14ac:dyDescent="0.2">
      <c r="B28" s="775"/>
      <c r="C28" s="776"/>
      <c r="D28" s="217" t="s">
        <v>2</v>
      </c>
      <c r="E28" s="125">
        <v>2233</v>
      </c>
      <c r="F28" s="125">
        <v>2233</v>
      </c>
      <c r="G28" s="125">
        <v>2177.1</v>
      </c>
      <c r="H28" s="125">
        <v>2620.1</v>
      </c>
      <c r="I28" s="46"/>
      <c r="J28" s="779"/>
      <c r="K28" s="738"/>
      <c r="L28" s="738"/>
      <c r="M28" s="738"/>
      <c r="N28" s="779"/>
      <c r="O28" s="1223">
        <f t="shared" si="1"/>
        <v>0</v>
      </c>
    </row>
    <row r="29" spans="2:15" ht="85.5" customHeight="1" x14ac:dyDescent="0.2">
      <c r="B29" s="498" t="s">
        <v>75</v>
      </c>
      <c r="C29" s="504" t="s">
        <v>824</v>
      </c>
      <c r="D29" s="504"/>
      <c r="E29" s="503">
        <f>SUM(E30:E30)</f>
        <v>90</v>
      </c>
      <c r="F29" s="503">
        <f t="shared" ref="F29:H29" si="3">SUM(F30:F30)</f>
        <v>90</v>
      </c>
      <c r="G29" s="503">
        <f t="shared" si="3"/>
        <v>190</v>
      </c>
      <c r="H29" s="503">
        <f t="shared" si="3"/>
        <v>190</v>
      </c>
      <c r="I29" s="505"/>
      <c r="J29" s="504" t="s">
        <v>931</v>
      </c>
      <c r="K29" s="507">
        <v>13</v>
      </c>
      <c r="L29" s="507">
        <v>14</v>
      </c>
      <c r="M29" s="507">
        <v>15</v>
      </c>
      <c r="N29" s="504"/>
      <c r="O29" s="1223">
        <f t="shared" si="1"/>
        <v>0</v>
      </c>
    </row>
    <row r="30" spans="2:15" ht="57" customHeight="1" x14ac:dyDescent="0.2">
      <c r="B30" s="102" t="s">
        <v>827</v>
      </c>
      <c r="C30" s="217" t="s">
        <v>167</v>
      </c>
      <c r="D30" s="217" t="s">
        <v>0</v>
      </c>
      <c r="E30" s="119">
        <v>90</v>
      </c>
      <c r="F30" s="119">
        <v>90</v>
      </c>
      <c r="G30" s="122">
        <v>190</v>
      </c>
      <c r="H30" s="122">
        <v>190</v>
      </c>
      <c r="I30" s="46"/>
      <c r="J30" s="217" t="s">
        <v>653</v>
      </c>
      <c r="K30" s="219" t="s">
        <v>587</v>
      </c>
      <c r="L30" s="219" t="s">
        <v>587</v>
      </c>
      <c r="M30" s="219" t="s">
        <v>587</v>
      </c>
      <c r="N30" s="217"/>
      <c r="O30" s="1223">
        <f t="shared" si="1"/>
        <v>0</v>
      </c>
    </row>
    <row r="31" spans="2:15" ht="21.75" customHeight="1" x14ac:dyDescent="0.2">
      <c r="B31" s="772" t="s">
        <v>169</v>
      </c>
      <c r="C31" s="772"/>
      <c r="D31" s="772"/>
      <c r="E31" s="503">
        <f>+E29+E23+E6</f>
        <v>13162.2</v>
      </c>
      <c r="F31" s="503">
        <f t="shared" ref="F31:H31" si="4">+F29+F23+F6</f>
        <v>13149.900000000001</v>
      </c>
      <c r="G31" s="503">
        <f t="shared" si="4"/>
        <v>14090.8</v>
      </c>
      <c r="H31" s="503">
        <f t="shared" si="4"/>
        <v>15220.8</v>
      </c>
      <c r="I31" s="505"/>
      <c r="J31" s="503"/>
      <c r="K31" s="508"/>
      <c r="L31" s="508"/>
      <c r="M31" s="508"/>
      <c r="N31" s="503"/>
      <c r="O31" s="1223">
        <f t="shared" si="1"/>
        <v>-12.299999999999272</v>
      </c>
    </row>
    <row r="32" spans="2:15" ht="23.25" customHeight="1" x14ac:dyDescent="0.2">
      <c r="B32" s="771"/>
      <c r="C32" s="771"/>
      <c r="D32" s="771"/>
      <c r="E32" s="226"/>
      <c r="F32" s="226"/>
      <c r="G32" s="226"/>
      <c r="H32" s="226"/>
      <c r="I32" s="241"/>
      <c r="J32" s="227"/>
      <c r="K32" s="228"/>
      <c r="L32" s="228"/>
      <c r="M32" s="228"/>
      <c r="N32" s="227"/>
    </row>
    <row r="33" spans="2:16" s="110" customFormat="1" ht="30" customHeight="1" x14ac:dyDescent="0.25">
      <c r="B33" s="448"/>
      <c r="C33" s="473" t="s">
        <v>143</v>
      </c>
      <c r="D33" s="473"/>
      <c r="E33" s="474">
        <f t="shared" ref="E33:H33" si="5">SUM(E35:E40)</f>
        <v>13162.199999999999</v>
      </c>
      <c r="F33" s="474">
        <f t="shared" si="5"/>
        <v>13149.9</v>
      </c>
      <c r="G33" s="474">
        <f t="shared" si="5"/>
        <v>14090.8</v>
      </c>
      <c r="H33" s="474">
        <f t="shared" si="5"/>
        <v>15220.8</v>
      </c>
      <c r="I33" s="241"/>
      <c r="J33" s="86"/>
      <c r="K33" s="229"/>
      <c r="L33" s="229"/>
      <c r="M33" s="229"/>
      <c r="N33" s="86"/>
      <c r="O33" s="1224"/>
    </row>
    <row r="34" spans="2:16" s="110" customFormat="1" ht="17.25" customHeight="1" x14ac:dyDescent="0.25">
      <c r="B34" s="33"/>
      <c r="C34" s="397" t="s">
        <v>144</v>
      </c>
      <c r="D34" s="37"/>
      <c r="E34" s="38"/>
      <c r="F34" s="38"/>
      <c r="G34" s="38"/>
      <c r="H34" s="38"/>
      <c r="I34" s="241"/>
      <c r="J34" s="230"/>
      <c r="K34" s="231"/>
      <c r="L34" s="231"/>
      <c r="M34" s="231"/>
      <c r="N34" s="230"/>
      <c r="O34" s="1224"/>
    </row>
    <row r="35" spans="2:16" s="110" customFormat="1" ht="31.5" customHeight="1" x14ac:dyDescent="0.25">
      <c r="B35" s="33"/>
      <c r="C35" s="397" t="s">
        <v>145</v>
      </c>
      <c r="D35" s="37" t="s">
        <v>0</v>
      </c>
      <c r="E35" s="38">
        <f>+E30+E27+E26+E25+E24+E21+E19+E18+E17+E11+E9+E7</f>
        <v>10575.9</v>
      </c>
      <c r="F35" s="38">
        <f t="shared" ref="F35:H35" si="6">+F30+F27+F26+F25+F24+F21+F19+F18+F17+F11+F9+F7</f>
        <v>10575.9</v>
      </c>
      <c r="G35" s="38">
        <f t="shared" si="6"/>
        <v>11541.4</v>
      </c>
      <c r="H35" s="38">
        <f t="shared" si="6"/>
        <v>12218.4</v>
      </c>
      <c r="I35" s="241"/>
      <c r="J35" s="232"/>
      <c r="K35" s="231"/>
      <c r="L35" s="231"/>
      <c r="M35" s="231"/>
      <c r="N35" s="232"/>
      <c r="O35" s="1224"/>
    </row>
    <row r="36" spans="2:16" s="110" customFormat="1" ht="27" customHeight="1" x14ac:dyDescent="0.25">
      <c r="B36" s="33"/>
      <c r="C36" s="397" t="s">
        <v>146</v>
      </c>
      <c r="D36" s="37" t="s">
        <v>3</v>
      </c>
      <c r="E36" s="38">
        <f>+E22</f>
        <v>231</v>
      </c>
      <c r="F36" s="38">
        <f t="shared" ref="F36:H36" si="7">+F22</f>
        <v>231</v>
      </c>
      <c r="G36" s="38">
        <f t="shared" si="7"/>
        <v>250</v>
      </c>
      <c r="H36" s="38">
        <f t="shared" si="7"/>
        <v>260</v>
      </c>
      <c r="I36" s="241"/>
      <c r="J36" s="230"/>
      <c r="K36" s="231"/>
      <c r="L36" s="231"/>
      <c r="M36" s="231"/>
      <c r="N36" s="230"/>
      <c r="O36" s="1224"/>
    </row>
    <row r="37" spans="2:16" s="110" customFormat="1" ht="18" customHeight="1" x14ac:dyDescent="0.25">
      <c r="B37" s="33"/>
      <c r="C37" s="397" t="s">
        <v>147</v>
      </c>
      <c r="D37" s="37" t="s">
        <v>4</v>
      </c>
      <c r="E37" s="38">
        <f>+E10+E20</f>
        <v>122.3</v>
      </c>
      <c r="F37" s="38">
        <f t="shared" ref="F37:H37" si="8">+F10+F20</f>
        <v>110</v>
      </c>
      <c r="G37" s="38">
        <f t="shared" si="8"/>
        <v>122.3</v>
      </c>
      <c r="H37" s="38">
        <f t="shared" si="8"/>
        <v>122.3</v>
      </c>
      <c r="I37" s="241"/>
      <c r="J37" s="230"/>
      <c r="K37" s="231"/>
      <c r="L37" s="231"/>
      <c r="M37" s="231"/>
      <c r="N37" s="230"/>
      <c r="O37" s="1224"/>
    </row>
    <row r="38" spans="2:16" s="110" customFormat="1" ht="32.25" customHeight="1" x14ac:dyDescent="0.25">
      <c r="B38" s="33"/>
      <c r="C38" s="397" t="s">
        <v>148</v>
      </c>
      <c r="D38" s="37" t="s">
        <v>1</v>
      </c>
      <c r="E38" s="38"/>
      <c r="F38" s="38"/>
      <c r="G38" s="38"/>
      <c r="H38" s="38"/>
      <c r="I38" s="241"/>
      <c r="J38" s="230"/>
      <c r="K38" s="231"/>
      <c r="L38" s="231"/>
      <c r="M38" s="231"/>
      <c r="N38" s="230"/>
      <c r="O38" s="1224"/>
    </row>
    <row r="39" spans="2:16" s="110" customFormat="1" ht="21.75" customHeight="1" x14ac:dyDescent="0.25">
      <c r="B39" s="33"/>
      <c r="C39" s="397" t="s">
        <v>149</v>
      </c>
      <c r="D39" s="37" t="s">
        <v>2</v>
      </c>
      <c r="E39" s="38">
        <f>+E28</f>
        <v>2233</v>
      </c>
      <c r="F39" s="38">
        <f t="shared" ref="F39:H39" si="9">+F28</f>
        <v>2233</v>
      </c>
      <c r="G39" s="38">
        <f t="shared" si="9"/>
        <v>2177.1</v>
      </c>
      <c r="H39" s="38">
        <f t="shared" si="9"/>
        <v>2620.1</v>
      </c>
      <c r="I39" s="241"/>
      <c r="J39" s="230"/>
      <c r="K39" s="231"/>
      <c r="L39" s="231"/>
      <c r="M39" s="231"/>
      <c r="N39" s="230"/>
      <c r="O39" s="1224"/>
    </row>
    <row r="40" spans="2:16" s="110" customFormat="1" ht="21" customHeight="1" x14ac:dyDescent="0.25">
      <c r="B40" s="118"/>
      <c r="C40" s="398" t="s">
        <v>150</v>
      </c>
      <c r="D40" s="34" t="s">
        <v>154</v>
      </c>
      <c r="E40" s="38"/>
      <c r="F40" s="38"/>
      <c r="G40" s="38"/>
      <c r="H40" s="38"/>
      <c r="I40" s="241"/>
      <c r="J40" s="230"/>
      <c r="K40" s="231"/>
      <c r="L40" s="231"/>
      <c r="M40" s="231"/>
      <c r="N40" s="230"/>
      <c r="O40" s="1224"/>
    </row>
    <row r="41" spans="2:16" s="110" customFormat="1" ht="51.75" customHeight="1" x14ac:dyDescent="0.25">
      <c r="B41" s="451"/>
      <c r="C41" s="476" t="s">
        <v>151</v>
      </c>
      <c r="D41" s="477" t="s">
        <v>155</v>
      </c>
      <c r="E41" s="474"/>
      <c r="F41" s="474"/>
      <c r="G41" s="474"/>
      <c r="H41" s="474"/>
      <c r="I41" s="241"/>
      <c r="J41" s="88"/>
      <c r="K41" s="233"/>
      <c r="L41" s="233"/>
      <c r="M41" s="233"/>
      <c r="N41" s="88"/>
      <c r="O41" s="1224"/>
    </row>
    <row r="42" spans="2:16" s="110" customFormat="1" ht="45" customHeight="1" x14ac:dyDescent="0.25">
      <c r="B42" s="514"/>
      <c r="C42" s="514" t="s">
        <v>153</v>
      </c>
      <c r="D42" s="514"/>
      <c r="E42" s="494">
        <f t="shared" ref="E42:H42" si="10">+E41+E33</f>
        <v>13162.199999999999</v>
      </c>
      <c r="F42" s="494">
        <f t="shared" si="10"/>
        <v>13149.9</v>
      </c>
      <c r="G42" s="494">
        <f t="shared" si="10"/>
        <v>14090.8</v>
      </c>
      <c r="H42" s="494">
        <f t="shared" si="10"/>
        <v>15220.8</v>
      </c>
      <c r="I42" s="241"/>
      <c r="J42" s="88"/>
      <c r="K42" s="233"/>
      <c r="L42" s="233"/>
      <c r="M42" s="233"/>
      <c r="N42" s="88"/>
      <c r="O42" s="1224"/>
    </row>
    <row r="43" spans="2:16" s="110" customFormat="1" ht="18" customHeight="1" x14ac:dyDescent="0.25">
      <c r="B43" s="33"/>
      <c r="C43" s="397" t="s">
        <v>152</v>
      </c>
      <c r="D43" s="37"/>
      <c r="E43" s="38"/>
      <c r="F43" s="38"/>
      <c r="G43" s="38"/>
      <c r="H43" s="38"/>
      <c r="I43" s="241"/>
      <c r="J43" s="230"/>
      <c r="K43" s="231"/>
      <c r="L43" s="231"/>
      <c r="M43" s="231"/>
      <c r="N43" s="230"/>
      <c r="O43" s="1224"/>
    </row>
    <row r="44" spans="2:16" ht="30" customHeight="1" x14ac:dyDescent="0.2">
      <c r="B44" s="33"/>
      <c r="C44" s="397" t="s">
        <v>173</v>
      </c>
      <c r="D44" s="37"/>
      <c r="E44" s="38">
        <f>+((E42*100)/11678)-100</f>
        <v>12.709368042473031</v>
      </c>
      <c r="F44" s="38">
        <v>12.9</v>
      </c>
      <c r="G44" s="38">
        <f t="shared" ref="G44:H44" si="11">+((G42*100)/11678)-100</f>
        <v>20.661072101387219</v>
      </c>
      <c r="H44" s="38">
        <f t="shared" si="11"/>
        <v>30.337386538790895</v>
      </c>
      <c r="I44" s="68"/>
      <c r="J44" s="230"/>
      <c r="K44" s="231"/>
      <c r="L44" s="231"/>
      <c r="M44" s="231"/>
      <c r="N44" s="230"/>
    </row>
    <row r="45" spans="2:16" s="1174" customFormat="1" ht="21" customHeight="1" x14ac:dyDescent="0.25">
      <c r="B45" s="1179" t="s">
        <v>1092</v>
      </c>
      <c r="C45" s="1179"/>
      <c r="D45" s="1179"/>
      <c r="E45" s="1179"/>
      <c r="F45" s="1179"/>
      <c r="G45" s="1179"/>
      <c r="H45" s="1179"/>
      <c r="I45" s="1170"/>
      <c r="J45" s="1171"/>
      <c r="K45" s="1172"/>
      <c r="L45" s="1172"/>
      <c r="M45" s="1172"/>
      <c r="N45" s="1172"/>
      <c r="O45" s="1225"/>
      <c r="P45" s="1204"/>
    </row>
    <row r="46" spans="2:16" s="1174" customFormat="1" ht="35.25" customHeight="1" x14ac:dyDescent="0.25">
      <c r="B46" s="1184" t="s">
        <v>1095</v>
      </c>
      <c r="C46" s="1185"/>
      <c r="D46" s="1180"/>
      <c r="E46" s="1180"/>
      <c r="F46" s="1180"/>
      <c r="G46" s="1180"/>
      <c r="H46" s="1186"/>
      <c r="I46" s="1170"/>
      <c r="J46" s="1171"/>
      <c r="K46" s="1172"/>
      <c r="L46" s="1172"/>
      <c r="M46" s="1172"/>
      <c r="N46" s="1172"/>
      <c r="O46" s="1225"/>
      <c r="P46" s="1204"/>
    </row>
    <row r="47" spans="2:16" s="1174" customFormat="1" ht="24.75" customHeight="1" x14ac:dyDescent="0.25">
      <c r="B47" s="1181" t="s">
        <v>1094</v>
      </c>
      <c r="C47" s="1181"/>
      <c r="D47" s="1181"/>
      <c r="E47" s="1187"/>
      <c r="F47" s="1188"/>
      <c r="G47" s="1188"/>
      <c r="H47" s="1188"/>
      <c r="I47" s="1175"/>
      <c r="J47" s="1176"/>
      <c r="K47" s="1177"/>
      <c r="L47" s="1177"/>
      <c r="M47" s="1177"/>
      <c r="N47" s="1177"/>
      <c r="O47" s="1176"/>
      <c r="P47" s="1204"/>
    </row>
  </sheetData>
  <mergeCells count="53">
    <mergeCell ref="B45:H45"/>
    <mergeCell ref="O3:O5"/>
    <mergeCell ref="F7:F8"/>
    <mergeCell ref="F11:F16"/>
    <mergeCell ref="F3:F5"/>
    <mergeCell ref="N3:N5"/>
    <mergeCell ref="N10:N11"/>
    <mergeCell ref="G7:G8"/>
    <mergeCell ref="G11:G16"/>
    <mergeCell ref="N19:N20"/>
    <mergeCell ref="N26:N28"/>
    <mergeCell ref="J26:J28"/>
    <mergeCell ref="L4:L5"/>
    <mergeCell ref="L10:L11"/>
    <mergeCell ref="L19:L20"/>
    <mergeCell ref="L26:L28"/>
    <mergeCell ref="K4:K5"/>
    <mergeCell ref="J3:J5"/>
    <mergeCell ref="J10:J11"/>
    <mergeCell ref="J19:J20"/>
    <mergeCell ref="M10:M11"/>
    <mergeCell ref="M19:M20"/>
    <mergeCell ref="M26:M28"/>
    <mergeCell ref="K10:K11"/>
    <mergeCell ref="K19:K20"/>
    <mergeCell ref="B32:D32"/>
    <mergeCell ref="B31:D31"/>
    <mergeCell ref="B19:B20"/>
    <mergeCell ref="B26:B28"/>
    <mergeCell ref="C26:C28"/>
    <mergeCell ref="C19:C20"/>
    <mergeCell ref="B1:M1"/>
    <mergeCell ref="E11:E16"/>
    <mergeCell ref="C10:C11"/>
    <mergeCell ref="G3:G5"/>
    <mergeCell ref="B7:B8"/>
    <mergeCell ref="C7:C8"/>
    <mergeCell ref="D7:D8"/>
    <mergeCell ref="E7:E8"/>
    <mergeCell ref="B3:B5"/>
    <mergeCell ref="B10:B11"/>
    <mergeCell ref="D11:D16"/>
    <mergeCell ref="E3:E5"/>
    <mergeCell ref="C3:C5"/>
    <mergeCell ref="C6:D6"/>
    <mergeCell ref="K3:M3"/>
    <mergeCell ref="M4:M5"/>
    <mergeCell ref="K26:K28"/>
    <mergeCell ref="I19:I20"/>
    <mergeCell ref="I3:I5"/>
    <mergeCell ref="H3:H5"/>
    <mergeCell ref="H11:H16"/>
    <mergeCell ref="I7:I8"/>
  </mergeCells>
  <phoneticPr fontId="9" type="noConversion"/>
  <pageMargins left="0.19685039370078741" right="0.19685039370078741" top="0.19685039370078741" bottom="0.19685039370078741" header="0" footer="0"/>
  <pageSetup paperSize="9" scale="51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  <pageSetUpPr fitToPage="1"/>
  </sheetPr>
  <dimension ref="B1:H24"/>
  <sheetViews>
    <sheetView zoomScale="85" zoomScaleNormal="85" workbookViewId="0">
      <selection activeCell="L13" sqref="L13"/>
    </sheetView>
  </sheetViews>
  <sheetFormatPr defaultColWidth="9.140625" defaultRowHeight="15.75" x14ac:dyDescent="0.2"/>
  <cols>
    <col min="1" max="1" width="3.42578125" style="6" customWidth="1"/>
    <col min="2" max="2" width="8.85546875" style="6" customWidth="1"/>
    <col min="3" max="3" width="81.85546875" style="41" customWidth="1"/>
    <col min="4" max="4" width="16.140625" style="41" customWidth="1"/>
    <col min="5" max="6" width="17.5703125" style="41" customWidth="1"/>
    <col min="7" max="7" width="15.28515625" style="6" customWidth="1"/>
    <col min="8" max="8" width="10.5703125" style="1226" customWidth="1"/>
    <col min="9" max="16384" width="9.140625" style="6"/>
  </cols>
  <sheetData>
    <row r="1" spans="2:8" ht="19.5" customHeight="1" x14ac:dyDescent="0.2">
      <c r="C1" s="1161"/>
      <c r="D1" s="1161"/>
      <c r="E1" s="1161"/>
      <c r="F1" s="1161"/>
    </row>
    <row r="2" spans="2:8" ht="35.25" customHeight="1" x14ac:dyDescent="0.2">
      <c r="B2" s="1167" t="s">
        <v>937</v>
      </c>
      <c r="C2" s="1167"/>
      <c r="D2" s="1167"/>
      <c r="E2" s="1167"/>
      <c r="F2" s="1167"/>
      <c r="G2" s="1167"/>
    </row>
    <row r="3" spans="2:8" ht="87" customHeight="1" x14ac:dyDescent="0.2">
      <c r="B3" s="730" t="s">
        <v>141</v>
      </c>
      <c r="C3" s="730" t="s">
        <v>142</v>
      </c>
      <c r="D3" s="730" t="s">
        <v>28</v>
      </c>
      <c r="E3" s="731" t="s">
        <v>974</v>
      </c>
      <c r="F3" s="730" t="s">
        <v>266</v>
      </c>
      <c r="G3" s="730" t="s">
        <v>720</v>
      </c>
      <c r="H3" s="1226" t="s">
        <v>1098</v>
      </c>
    </row>
    <row r="4" spans="2:8" ht="32.25" customHeight="1" x14ac:dyDescent="0.2">
      <c r="B4" s="732" t="s">
        <v>6</v>
      </c>
      <c r="C4" s="733" t="s">
        <v>329</v>
      </c>
      <c r="D4" s="734">
        <f>+'01 Visuomenės ugdymo'!E112</f>
        <v>64457.399999999994</v>
      </c>
      <c r="E4" s="1228">
        <f>+'01 Visuomenės ugdymo'!F112</f>
        <v>65853.3</v>
      </c>
      <c r="F4" s="734">
        <f>+'01 Visuomenės ugdymo'!G112</f>
        <v>68922.8</v>
      </c>
      <c r="G4" s="734">
        <f>+'01 Visuomenės ugdymo'!H112</f>
        <v>70331.399999999994</v>
      </c>
      <c r="H4" s="1229">
        <f>+E4-D4</f>
        <v>1395.9000000000087</v>
      </c>
    </row>
    <row r="5" spans="2:8" ht="32.25" customHeight="1" x14ac:dyDescent="0.2">
      <c r="B5" s="732" t="s">
        <v>7</v>
      </c>
      <c r="C5" s="733" t="s">
        <v>330</v>
      </c>
      <c r="D5" s="734">
        <f>+'02 Socialinės gerovės'!E119</f>
        <v>54023.5</v>
      </c>
      <c r="E5" s="1228">
        <f>+'02 Socialinės gerovės'!F119</f>
        <v>53572.499999999993</v>
      </c>
      <c r="F5" s="734">
        <f>+'02 Socialinės gerovės'!G119</f>
        <v>56506</v>
      </c>
      <c r="G5" s="734">
        <f>+'02 Socialinės gerovės'!H119</f>
        <v>56199.4</v>
      </c>
      <c r="H5" s="1229">
        <f t="shared" ref="H5:H20" si="0">+E5-D5</f>
        <v>-451.00000000000728</v>
      </c>
    </row>
    <row r="6" spans="2:8" ht="32.25" customHeight="1" x14ac:dyDescent="0.2">
      <c r="B6" s="732" t="s">
        <v>8</v>
      </c>
      <c r="C6" s="733" t="s">
        <v>331</v>
      </c>
      <c r="D6" s="734">
        <f>+'03 Darnios aplinkos'!E62</f>
        <v>23721.039999999997</v>
      </c>
      <c r="E6" s="1228">
        <f>+'03 Darnios aplinkos'!F62</f>
        <v>24012.84</v>
      </c>
      <c r="F6" s="734">
        <f>+'03 Darnios aplinkos'!G62</f>
        <v>29866.6</v>
      </c>
      <c r="G6" s="734">
        <f>+'03 Darnios aplinkos'!H62</f>
        <v>28454.6</v>
      </c>
      <c r="H6" s="1229">
        <f t="shared" si="0"/>
        <v>291.80000000000291</v>
      </c>
    </row>
    <row r="7" spans="2:8" ht="32.25" customHeight="1" x14ac:dyDescent="0.2">
      <c r="B7" s="732" t="s">
        <v>9</v>
      </c>
      <c r="C7" s="733" t="s">
        <v>332</v>
      </c>
      <c r="D7" s="734">
        <f>+'04 Ekonominės plėtros'!E42</f>
        <v>4356.3</v>
      </c>
      <c r="E7" s="1228">
        <f>+'04 Ekonominės plėtros'!F42</f>
        <v>5062.6000000000004</v>
      </c>
      <c r="F7" s="734">
        <f>+'04 Ekonominės plėtros'!G42</f>
        <v>8728</v>
      </c>
      <c r="G7" s="734">
        <f>+'04 Ekonominės plėtros'!H42</f>
        <v>3603</v>
      </c>
      <c r="H7" s="1229">
        <f t="shared" si="0"/>
        <v>706.30000000000018</v>
      </c>
    </row>
    <row r="8" spans="2:8" ht="32.25" customHeight="1" x14ac:dyDescent="0.2">
      <c r="B8" s="732" t="s">
        <v>10</v>
      </c>
      <c r="C8" s="733" t="s">
        <v>443</v>
      </c>
      <c r="D8" s="734">
        <f>+'05 Valdymo '!E31</f>
        <v>13162.2</v>
      </c>
      <c r="E8" s="1228">
        <f>+'05 Valdymo '!F31</f>
        <v>13149.900000000001</v>
      </c>
      <c r="F8" s="734">
        <f>+'05 Valdymo '!G31</f>
        <v>14090.8</v>
      </c>
      <c r="G8" s="734">
        <f>+'05 Valdymo '!H31</f>
        <v>15220.8</v>
      </c>
      <c r="H8" s="1229">
        <f t="shared" si="0"/>
        <v>-12.299999999999272</v>
      </c>
    </row>
    <row r="9" spans="2:8" ht="32.25" customHeight="1" x14ac:dyDescent="0.2">
      <c r="B9" s="735"/>
      <c r="C9" s="498" t="s">
        <v>1089</v>
      </c>
      <c r="D9" s="736">
        <f>SUM(D4:D8)</f>
        <v>159720.44</v>
      </c>
      <c r="E9" s="736">
        <f t="shared" ref="E9:G9" si="1">SUM(E4:E8)</f>
        <v>161651.13999999998</v>
      </c>
      <c r="F9" s="736">
        <f t="shared" si="1"/>
        <v>178114.19999999998</v>
      </c>
      <c r="G9" s="736">
        <f t="shared" si="1"/>
        <v>173809.19999999998</v>
      </c>
      <c r="H9" s="1229">
        <f t="shared" si="0"/>
        <v>1930.6999999999825</v>
      </c>
    </row>
    <row r="10" spans="2:8" ht="32.25" customHeight="1" x14ac:dyDescent="0.2">
      <c r="B10" s="1166" t="s">
        <v>143</v>
      </c>
      <c r="C10" s="1166"/>
      <c r="D10" s="737">
        <f>+'01 Visuomenės ugdymo'!E114+'02 Socialinės gerovės'!E121+'03 Darnios aplinkos'!E64+'04 Ekonominės plėtros'!E44+'05 Valdymo '!E33</f>
        <v>157683.44</v>
      </c>
      <c r="E10" s="737">
        <f>+'01 Visuomenės ugdymo'!F114+'02 Socialinės gerovės'!F121+'03 Darnios aplinkos'!F64+'04 Ekonominės plėtros'!F44+'05 Valdymo '!F33</f>
        <v>159614.13999999998</v>
      </c>
      <c r="F10" s="737">
        <f>+'01 Visuomenės ugdymo'!G114+'02 Socialinės gerovės'!G121+'03 Darnios aplinkos'!G64+'04 Ekonominės plėtros'!G44+'05 Valdymo '!G33</f>
        <v>175293.19999999998</v>
      </c>
      <c r="G10" s="737">
        <f>+'01 Visuomenės ugdymo'!H114+'02 Socialinės gerovės'!H121+'03 Darnios aplinkos'!H64+'04 Ekonominės plėtros'!H44+'05 Valdymo '!H33</f>
        <v>172192.19999999998</v>
      </c>
      <c r="H10" s="1229">
        <f t="shared" si="0"/>
        <v>1930.6999999999825</v>
      </c>
    </row>
    <row r="11" spans="2:8" ht="19.5" customHeight="1" x14ac:dyDescent="0.2">
      <c r="B11" s="1162" t="s">
        <v>144</v>
      </c>
      <c r="C11" s="1162"/>
      <c r="D11" s="391"/>
      <c r="E11" s="677"/>
      <c r="F11" s="391"/>
      <c r="G11" s="391"/>
      <c r="H11" s="1229">
        <f t="shared" si="0"/>
        <v>0</v>
      </c>
    </row>
    <row r="12" spans="2:8" ht="32.25" customHeight="1" x14ac:dyDescent="0.2">
      <c r="B12" s="1165" t="s">
        <v>158</v>
      </c>
      <c r="C12" s="1165"/>
      <c r="D12" s="391">
        <f>+'01 Visuomenės ugdymo'!E116+'02 Socialinės gerovės'!E123+'03 Darnios aplinkos'!E66+'04 Ekonominės plėtros'!E46+'05 Valdymo '!E35</f>
        <v>64684.14</v>
      </c>
      <c r="E12" s="1227">
        <f>+'01 Visuomenės ugdymo'!F116+'02 Socialinės gerovės'!F123+'03 Darnios aplinkos'!F66+'04 Ekonominės plėtros'!F46+'05 Valdymo '!F35</f>
        <v>64900.14</v>
      </c>
      <c r="F12" s="391">
        <f>+'01 Visuomenės ugdymo'!G116+'02 Socialinės gerovės'!G123+'03 Darnios aplinkos'!G66+'04 Ekonominės plėtros'!G46+'05 Valdymo '!G35</f>
        <v>80658.899999999994</v>
      </c>
      <c r="G12" s="391">
        <f>+'01 Visuomenės ugdymo'!H116+'02 Socialinės gerovės'!H123+'03 Darnios aplinkos'!H66+'04 Ekonominės plėtros'!H46+'05 Valdymo '!H35</f>
        <v>80332.999999999985</v>
      </c>
      <c r="H12" s="1229">
        <f t="shared" si="0"/>
        <v>216</v>
      </c>
    </row>
    <row r="13" spans="2:8" ht="32.25" customHeight="1" x14ac:dyDescent="0.2">
      <c r="B13" s="1162" t="s">
        <v>159</v>
      </c>
      <c r="C13" s="1162"/>
      <c r="D13" s="391">
        <f>+'01 Visuomenės ugdymo'!E117+'02 Socialinės gerovės'!E124+'03 Darnios aplinkos'!E67+'04 Ekonominės plėtros'!E47+'05 Valdymo '!E36</f>
        <v>68398.100000000006</v>
      </c>
      <c r="E13" s="1227">
        <f>+'01 Visuomenės ugdymo'!F117+'02 Socialinės gerovės'!F124+'03 Darnios aplinkos'!F67+'04 Ekonominės plėtros'!F47+'05 Valdymo '!F36</f>
        <v>70584.799999999988</v>
      </c>
      <c r="F13" s="391">
        <f>+'01 Visuomenės ugdymo'!G117+'02 Socialinės gerovės'!G124+'03 Darnios aplinkos'!G67+'04 Ekonominės plėtros'!G47+'05 Valdymo '!G36</f>
        <v>76291</v>
      </c>
      <c r="G13" s="391">
        <f>+'01 Visuomenės ugdymo'!H117+'02 Socialinės gerovės'!H124+'03 Darnios aplinkos'!H67+'04 Ekonominės plėtros'!H47+'05 Valdymo '!H36</f>
        <v>74230.399999999994</v>
      </c>
      <c r="H13" s="1229">
        <f t="shared" si="0"/>
        <v>2186.6999999999825</v>
      </c>
    </row>
    <row r="14" spans="2:8" ht="32.25" customHeight="1" x14ac:dyDescent="0.2">
      <c r="B14" s="1162" t="s">
        <v>160</v>
      </c>
      <c r="C14" s="1162"/>
      <c r="D14" s="391">
        <f>+'01 Visuomenės ugdymo'!E118+'02 Socialinės gerovės'!E125+'03 Darnios aplinkos'!E68+'04 Ekonominės plėtros'!E48+'05 Valdymo '!E37</f>
        <v>4164.5</v>
      </c>
      <c r="E14" s="1227">
        <f>+'01 Visuomenės ugdymo'!F118+'02 Socialinės gerovės'!F125+'03 Darnios aplinkos'!F68+'04 Ekonominės plėtros'!F48+'05 Valdymo '!F37</f>
        <v>4187.5</v>
      </c>
      <c r="F14" s="391">
        <f>+'01 Visuomenės ugdymo'!G118+'02 Socialinės gerovės'!G125+'03 Darnios aplinkos'!G68+'04 Ekonominės plėtros'!G48+'05 Valdymo '!G37</f>
        <v>4190.3</v>
      </c>
      <c r="G14" s="391">
        <f>+'01 Visuomenės ugdymo'!H118+'02 Socialinės gerovės'!H125+'03 Darnios aplinkos'!H68+'04 Ekonominės plėtros'!H48+'05 Valdymo '!H37</f>
        <v>4190.3</v>
      </c>
      <c r="H14" s="1229">
        <f t="shared" si="0"/>
        <v>23</v>
      </c>
    </row>
    <row r="15" spans="2:8" ht="32.25" customHeight="1" x14ac:dyDescent="0.2">
      <c r="B15" s="1162" t="s">
        <v>161</v>
      </c>
      <c r="C15" s="1162"/>
      <c r="D15" s="391">
        <f>+'01 Visuomenės ugdymo'!E119+'02 Socialinės gerovės'!E126+'03 Darnios aplinkos'!E69+'04 Ekonominės plėtros'!E49+'05 Valdymo '!E38</f>
        <v>8613.5</v>
      </c>
      <c r="E15" s="1227">
        <f>+'01 Visuomenės ugdymo'!F119+'02 Socialinės gerovės'!F126+'03 Darnios aplinkos'!F69+'04 Ekonominės plėtros'!F49+'05 Valdymo '!F38</f>
        <v>8118.5</v>
      </c>
      <c r="F15" s="391">
        <f>+'01 Visuomenės ugdymo'!G119+'02 Socialinės gerovės'!G126+'03 Darnios aplinkos'!G69+'04 Ekonominės plėtros'!G49+'05 Valdymo '!G38</f>
        <v>11975.9</v>
      </c>
      <c r="G15" s="391">
        <f>+'01 Visuomenės ugdymo'!H119+'02 Socialinės gerovės'!H126+'03 Darnios aplinkos'!H69+'04 Ekonominės plėtros'!H49+'05 Valdymo '!H38</f>
        <v>10818.4</v>
      </c>
      <c r="H15" s="1229">
        <f t="shared" si="0"/>
        <v>-495</v>
      </c>
    </row>
    <row r="16" spans="2:8" ht="32.25" customHeight="1" x14ac:dyDescent="0.2">
      <c r="B16" s="1162" t="s">
        <v>162</v>
      </c>
      <c r="C16" s="1162"/>
      <c r="D16" s="391">
        <f>+'01 Visuomenės ugdymo'!E120+'02 Socialinės gerovės'!E127+'03 Darnios aplinkos'!E70+'04 Ekonominės plėtros'!E50+'05 Valdymo '!E39</f>
        <v>4375.2</v>
      </c>
      <c r="E16" s="1227">
        <f>+'01 Visuomenės ugdymo'!F120+'02 Socialinės gerovės'!F127+'03 Darnios aplinkos'!F70+'04 Ekonominės plėtros'!F50+'05 Valdymo '!F39</f>
        <v>4375.2</v>
      </c>
      <c r="F16" s="391">
        <f>+'01 Visuomenės ugdymo'!G120+'02 Socialinės gerovės'!G127+'03 Darnios aplinkos'!G70+'04 Ekonominės plėtros'!G50+'05 Valdymo '!G39</f>
        <v>2177.1</v>
      </c>
      <c r="G16" s="391">
        <f>+'01 Visuomenės ugdymo'!H120+'02 Socialinės gerovės'!H127+'03 Darnios aplinkos'!H70+'04 Ekonominės plėtros'!H50+'05 Valdymo '!H39</f>
        <v>2620.1</v>
      </c>
      <c r="H16" s="1229">
        <f t="shared" si="0"/>
        <v>0</v>
      </c>
    </row>
    <row r="17" spans="2:8" ht="32.25" customHeight="1" x14ac:dyDescent="0.2">
      <c r="B17" s="1162" t="s">
        <v>163</v>
      </c>
      <c r="C17" s="1162"/>
      <c r="D17" s="391">
        <f>+'01 Visuomenės ugdymo'!E121+'02 Socialinės gerovės'!E128+'03 Darnios aplinkos'!E71+'04 Ekonominės plėtros'!E51+'05 Valdymo '!E40</f>
        <v>7448</v>
      </c>
      <c r="E17" s="1227">
        <f>+'01 Visuomenės ugdymo'!F121+'02 Socialinės gerovės'!F128+'03 Darnios aplinkos'!F71+'04 Ekonominės plėtros'!F51+'05 Valdymo '!F40</f>
        <v>7448</v>
      </c>
      <c r="F17" s="391">
        <f>+'01 Visuomenės ugdymo'!G121+'02 Socialinės gerovės'!G128+'03 Darnios aplinkos'!G71+'04 Ekonominės plėtros'!G51+'05 Valdymo '!G40</f>
        <v>0</v>
      </c>
      <c r="G17" s="391">
        <f>+'01 Visuomenės ugdymo'!H121+'02 Socialinės gerovės'!H128+'03 Darnios aplinkos'!H71+'04 Ekonominės plėtros'!H51+'05 Valdymo '!H40</f>
        <v>0</v>
      </c>
      <c r="H17" s="1229">
        <f t="shared" si="0"/>
        <v>0</v>
      </c>
    </row>
    <row r="18" spans="2:8" ht="32.25" customHeight="1" x14ac:dyDescent="0.2">
      <c r="B18" s="1163" t="s">
        <v>164</v>
      </c>
      <c r="C18" s="1163"/>
      <c r="D18" s="536">
        <f>+'01 Visuomenės ugdymo'!E122+'02 Socialinės gerovės'!E129+'03 Darnios aplinkos'!E72+'04 Ekonominės plėtros'!E52+'05 Valdymo '!E41</f>
        <v>2037</v>
      </c>
      <c r="E18" s="536">
        <f>+'01 Visuomenės ugdymo'!F122+'02 Socialinės gerovės'!F129+'03 Darnios aplinkos'!F72+'04 Ekonominės plėtros'!F52+'05 Valdymo '!F41</f>
        <v>2037</v>
      </c>
      <c r="F18" s="536">
        <f>+'01 Visuomenės ugdymo'!G122+'02 Socialinės gerovės'!G129+'03 Darnios aplinkos'!G72+'04 Ekonominės plėtros'!G52+'05 Valdymo '!G41</f>
        <v>2821</v>
      </c>
      <c r="G18" s="536">
        <f>+'01 Visuomenės ugdymo'!H122+'02 Socialinės gerovės'!H129+'03 Darnios aplinkos'!H72+'04 Ekonominės plėtros'!H52+'05 Valdymo '!H41</f>
        <v>1617</v>
      </c>
      <c r="H18" s="1229">
        <f t="shared" si="0"/>
        <v>0</v>
      </c>
    </row>
    <row r="19" spans="2:8" ht="32.25" customHeight="1" x14ac:dyDescent="0.2">
      <c r="B19" s="1164" t="s">
        <v>153</v>
      </c>
      <c r="C19" s="1164"/>
      <c r="D19" s="537">
        <f>+'01 Visuomenės ugdymo'!E123+'02 Socialinės gerovės'!E130+'03 Darnios aplinkos'!E73+'04 Ekonominės plėtros'!E53+'05 Valdymo '!E42</f>
        <v>159720.44</v>
      </c>
      <c r="E19" s="537">
        <f>+'01 Visuomenės ugdymo'!F123+'02 Socialinės gerovės'!F130+'03 Darnios aplinkos'!F73+'04 Ekonominės plėtros'!F53+'05 Valdymo '!F42</f>
        <v>161651.13999999998</v>
      </c>
      <c r="F19" s="537">
        <f>+'01 Visuomenės ugdymo'!G123+'02 Socialinės gerovės'!G130+'03 Darnios aplinkos'!G73+'04 Ekonominės plėtros'!G53+'05 Valdymo '!G42</f>
        <v>178114.19999999998</v>
      </c>
      <c r="G19" s="537">
        <f>+'01 Visuomenės ugdymo'!H123+'02 Socialinės gerovės'!H130+'03 Darnios aplinkos'!H73+'04 Ekonominės plėtros'!H53+'05 Valdymo '!H42</f>
        <v>173809.19999999998</v>
      </c>
      <c r="H19" s="1229">
        <f t="shared" si="0"/>
        <v>1930.6999999999825</v>
      </c>
    </row>
    <row r="20" spans="2:8" ht="32.25" customHeight="1" x14ac:dyDescent="0.2">
      <c r="B20" s="1165" t="s">
        <v>165</v>
      </c>
      <c r="C20" s="1165"/>
      <c r="D20" s="391">
        <f>+'01 Visuomenės ugdymo'!E124+'02 Socialinės gerovės'!E131+'03 Darnios aplinkos'!E74+'04 Ekonominės plėtros'!E54+'05 Valdymo '!E43</f>
        <v>8367</v>
      </c>
      <c r="E20" s="1227">
        <f>+'01 Visuomenės ugdymo'!F124+'02 Socialinės gerovės'!F131+'03 Darnios aplinkos'!F74+'04 Ekonominės plėtros'!F54+'05 Valdymo '!F43</f>
        <v>7872</v>
      </c>
      <c r="F20" s="391">
        <f>+'01 Visuomenės ugdymo'!G124+'02 Socialinės gerovės'!G131+'03 Darnios aplinkos'!G74+'04 Ekonominės plėtros'!G54+'05 Valdymo '!G43</f>
        <v>11406.5</v>
      </c>
      <c r="G20" s="391">
        <f>+'01 Visuomenės ugdymo'!H124+'02 Socialinės gerovės'!H131+'03 Darnios aplinkos'!H74+'04 Ekonominės plėtros'!H54+'05 Valdymo '!H43</f>
        <v>10083.9</v>
      </c>
      <c r="H20" s="1229">
        <f t="shared" si="0"/>
        <v>-495</v>
      </c>
    </row>
    <row r="21" spans="2:8" ht="32.25" customHeight="1" x14ac:dyDescent="0.2">
      <c r="B21" s="1162" t="s">
        <v>173</v>
      </c>
      <c r="C21" s="1162"/>
      <c r="D21" s="391">
        <v>8.5</v>
      </c>
      <c r="E21" s="1227">
        <v>8.8000000000000007</v>
      </c>
      <c r="F21" s="391">
        <f>+((F19*100)/E19)-100</f>
        <v>10.184314196608824</v>
      </c>
      <c r="G21" s="391">
        <f>+((G19*100)/F19)-100</f>
        <v>-2.416988651101363</v>
      </c>
      <c r="H21" s="1229"/>
    </row>
    <row r="22" spans="2:8" ht="27.75" customHeight="1" x14ac:dyDescent="0.2">
      <c r="B22" s="1179" t="s">
        <v>1092</v>
      </c>
      <c r="C22" s="1179"/>
      <c r="D22" s="1179"/>
      <c r="E22" s="1179"/>
      <c r="F22" s="1179"/>
      <c r="G22" s="1179"/>
      <c r="H22" s="1179"/>
    </row>
    <row r="23" spans="2:8" ht="27.75" customHeight="1" x14ac:dyDescent="0.2">
      <c r="B23" s="1184" t="s">
        <v>1095</v>
      </c>
      <c r="C23" s="1185"/>
      <c r="D23" s="1180"/>
      <c r="E23" s="1180"/>
      <c r="F23" s="1180"/>
      <c r="G23" s="1180"/>
      <c r="H23" s="1182"/>
    </row>
    <row r="24" spans="2:8" ht="27.75" customHeight="1" x14ac:dyDescent="0.2">
      <c r="B24" s="1181" t="s">
        <v>1094</v>
      </c>
      <c r="C24" s="1181"/>
      <c r="D24" s="1181"/>
      <c r="E24" s="1187"/>
      <c r="F24" s="1188"/>
      <c r="G24" s="1188"/>
      <c r="H24" s="1183"/>
    </row>
  </sheetData>
  <mergeCells count="15">
    <mergeCell ref="B22:H22"/>
    <mergeCell ref="C1:F1"/>
    <mergeCell ref="B21:C21"/>
    <mergeCell ref="B18:C18"/>
    <mergeCell ref="B19:C19"/>
    <mergeCell ref="B20:C20"/>
    <mergeCell ref="B10:C10"/>
    <mergeCell ref="B11:C11"/>
    <mergeCell ref="B12:C12"/>
    <mergeCell ref="B13:C13"/>
    <mergeCell ref="B14:C14"/>
    <mergeCell ref="B15:C15"/>
    <mergeCell ref="B16:C16"/>
    <mergeCell ref="B17:C17"/>
    <mergeCell ref="B2:G2"/>
  </mergeCells>
  <phoneticPr fontId="9" type="noConversion"/>
  <pageMargins left="0.78740157480314965" right="0.19685039370078741" top="0.19685039370078741" bottom="0.19685039370078741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7</vt:i4>
      </vt:variant>
    </vt:vector>
  </HeadingPairs>
  <TitlesOfParts>
    <vt:vector size="13" baseType="lpstr">
      <vt:lpstr>01 Visuomenės ugdymo</vt:lpstr>
      <vt:lpstr>02 Socialinės gerovės</vt:lpstr>
      <vt:lpstr>03 Darnios aplinkos</vt:lpstr>
      <vt:lpstr>04 Ekonominės plėtros</vt:lpstr>
      <vt:lpstr>05 Valdymo </vt:lpstr>
      <vt:lpstr>Lešų poreikis iš viso</vt:lpstr>
      <vt:lpstr>'01 Visuomenės ugdymo'!Print_Area</vt:lpstr>
      <vt:lpstr>'02 Socialinės gerovės'!Print_Area</vt:lpstr>
      <vt:lpstr>'03 Darnios aplinkos'!Print_Area</vt:lpstr>
      <vt:lpstr>'04 Ekonominės plėtros'!Print_Area</vt:lpstr>
      <vt:lpstr>'05 Valdymo '!Print_Area</vt:lpstr>
      <vt:lpstr>'Lešų poreikis iš viso'!Print_Area</vt:lpstr>
      <vt:lpstr>'01 Visuomenės ugdymo'!Print_Titles</vt:lpstr>
    </vt:vector>
  </TitlesOfParts>
  <Company>Kedainių raj. sav.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</dc:creator>
  <cp:lastModifiedBy>Aušra Čiukienė</cp:lastModifiedBy>
  <cp:lastPrinted>2026-09-14T06:40:39Z</cp:lastPrinted>
  <dcterms:created xsi:type="dcterms:W3CDTF">2008-01-09T09:46:52Z</dcterms:created>
  <dcterms:modified xsi:type="dcterms:W3CDTF">2026-09-15T06:54:50Z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