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sakaviciene\Desktop\seni dokumentai\2025 m sprendimai\2025-11-28 Tarybos posėdis\2025-11-28 Biudzetas T\"/>
    </mc:Choice>
  </mc:AlternateContent>
  <xr:revisionPtr revIDLastSave="0" documentId="13_ncr:1_{1456C227-222B-47E0-B316-750F1509584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1 priedas" sheetId="2" r:id="rId1"/>
    <sheet name="2 priedas" sheetId="3" r:id="rId2"/>
    <sheet name="3 priedas" sheetId="1" r:id="rId3"/>
  </sheets>
  <definedNames>
    <definedName name="_xlnm.Print_Area" localSheetId="0">'1 priedas'!$A$1:$C$50</definedName>
    <definedName name="_xlnm.Print_Area" localSheetId="2">'3 priedas'!$A$1:$K$168</definedName>
    <definedName name="_xlnm.Print_Titles" localSheetId="1">'2 priedas'!$9:$9</definedName>
    <definedName name="_xlnm.Print_Titles" localSheetId="2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8" i="1" l="1"/>
  <c r="F156" i="1"/>
  <c r="F155" i="1"/>
  <c r="F102" i="1"/>
  <c r="F101" i="1"/>
  <c r="F153" i="1"/>
  <c r="F151" i="1"/>
  <c r="F150" i="1"/>
  <c r="F148" i="1"/>
  <c r="F146" i="1"/>
  <c r="F145" i="1"/>
  <c r="F143" i="1"/>
  <c r="F141" i="1"/>
  <c r="F140" i="1"/>
  <c r="F138" i="1"/>
  <c r="F135" i="1"/>
  <c r="F133" i="1"/>
  <c r="F131" i="1"/>
  <c r="F130" i="1"/>
  <c r="F128" i="1"/>
  <c r="F126" i="1"/>
  <c r="F125" i="1"/>
  <c r="F124" i="1"/>
  <c r="F122" i="1"/>
  <c r="F120" i="1"/>
  <c r="F119" i="1"/>
  <c r="F117" i="1"/>
  <c r="F115" i="1"/>
  <c r="F114" i="1"/>
  <c r="F112" i="1"/>
  <c r="F110" i="1"/>
  <c r="F109" i="1"/>
  <c r="F105" i="1"/>
  <c r="F103" i="1"/>
  <c r="F100" i="1"/>
  <c r="F99" i="1"/>
  <c r="F97" i="1"/>
  <c r="F93" i="1"/>
  <c r="F83" i="1"/>
  <c r="F79" i="1"/>
  <c r="F71" i="1"/>
  <c r="F65" i="1"/>
  <c r="F63" i="1"/>
  <c r="F61" i="1"/>
  <c r="F53" i="1"/>
  <c r="F51" i="1"/>
  <c r="F47" i="1"/>
  <c r="F43" i="1"/>
  <c r="F41" i="1"/>
  <c r="F39" i="1"/>
  <c r="F37" i="1"/>
  <c r="F35" i="1"/>
  <c r="F33" i="1"/>
  <c r="F31" i="1"/>
  <c r="F29" i="1"/>
  <c r="F27" i="1"/>
  <c r="F25" i="1"/>
  <c r="F23" i="1"/>
  <c r="F19" i="1"/>
  <c r="E33" i="1" l="1"/>
  <c r="E47" i="1"/>
  <c r="H100" i="1"/>
  <c r="I100" i="1"/>
  <c r="C42" i="2"/>
  <c r="C43" i="2"/>
  <c r="G100" i="1" l="1"/>
  <c r="C27" i="2" l="1"/>
  <c r="C26" i="2"/>
  <c r="C25" i="2"/>
  <c r="C38" i="2"/>
  <c r="K23" i="1" l="1"/>
  <c r="F16" i="3"/>
  <c r="K39" i="1"/>
  <c r="F24" i="3"/>
  <c r="E24" i="3"/>
  <c r="D24" i="3"/>
  <c r="E61" i="1"/>
  <c r="C95" i="1" l="1"/>
  <c r="C94" i="1" s="1"/>
  <c r="C79" i="1"/>
  <c r="I94" i="1"/>
  <c r="I82" i="1"/>
  <c r="I78" i="1"/>
  <c r="I10" i="1"/>
  <c r="I102" i="1"/>
  <c r="I99" i="1"/>
  <c r="I162" i="1" s="1"/>
  <c r="G102" i="1"/>
  <c r="G101" i="1"/>
  <c r="H99" i="1"/>
  <c r="H101" i="1"/>
  <c r="D100" i="1"/>
  <c r="D105" i="1"/>
  <c r="D109" i="1"/>
  <c r="D119" i="1"/>
  <c r="D125" i="1"/>
  <c r="D130" i="1"/>
  <c r="D135" i="1"/>
  <c r="D145" i="1"/>
  <c r="D150" i="1"/>
  <c r="D155" i="1"/>
  <c r="K93" i="1" l="1"/>
  <c r="K91" i="1"/>
  <c r="K88" i="1"/>
  <c r="K85" i="1"/>
  <c r="K77" i="1"/>
  <c r="K71" i="1"/>
  <c r="K67" i="1"/>
  <c r="K65" i="1"/>
  <c r="K63" i="1"/>
  <c r="K61" i="1"/>
  <c r="K57" i="1"/>
  <c r="K53" i="1"/>
  <c r="K51" i="1"/>
  <c r="K49" i="1"/>
  <c r="K45" i="1"/>
  <c r="K43" i="1"/>
  <c r="K31" i="1"/>
  <c r="K29" i="1"/>
  <c r="K25" i="1"/>
  <c r="K21" i="1"/>
  <c r="K13" i="1"/>
  <c r="K11" i="1"/>
  <c r="K133" i="1"/>
  <c r="K166" i="1" s="1"/>
  <c r="E58" i="3"/>
  <c r="F50" i="3"/>
  <c r="F49" i="3"/>
  <c r="F48" i="3"/>
  <c r="F47" i="3"/>
  <c r="E43" i="3"/>
  <c r="E40" i="3"/>
  <c r="D40" i="3"/>
  <c r="E38" i="3"/>
  <c r="D38" i="3"/>
  <c r="E37" i="3"/>
  <c r="D37" i="3"/>
  <c r="F36" i="3"/>
  <c r="E36" i="3"/>
  <c r="D36" i="3"/>
  <c r="E35" i="3"/>
  <c r="D33" i="3"/>
  <c r="F31" i="3"/>
  <c r="D31" i="3"/>
  <c r="D30" i="3"/>
  <c r="F29" i="3"/>
  <c r="D29" i="3"/>
  <c r="F28" i="3"/>
  <c r="E28" i="3"/>
  <c r="D27" i="3"/>
  <c r="F26" i="3"/>
  <c r="E26" i="3"/>
  <c r="E20" i="3"/>
  <c r="D20" i="3"/>
  <c r="F19" i="3"/>
  <c r="E19" i="3"/>
  <c r="D19" i="3"/>
  <c r="F17" i="3"/>
  <c r="E17" i="3"/>
  <c r="F15" i="3"/>
  <c r="F11" i="3"/>
  <c r="F10" i="3"/>
  <c r="D91" i="1" l="1"/>
  <c r="D88" i="1"/>
  <c r="D85" i="1"/>
  <c r="D83" i="1"/>
  <c r="C83" i="1" s="1"/>
  <c r="G25" i="1"/>
  <c r="G23" i="1"/>
  <c r="G21" i="1"/>
  <c r="G15" i="1"/>
  <c r="G13" i="1"/>
  <c r="E63" i="1"/>
  <c r="E90" i="1"/>
  <c r="E87" i="1"/>
  <c r="E59" i="1"/>
  <c r="E55" i="1"/>
  <c r="E53" i="1"/>
  <c r="E51" i="1"/>
  <c r="E49" i="1"/>
  <c r="E45" i="1"/>
  <c r="E43" i="1"/>
  <c r="E41" i="1"/>
  <c r="E39" i="1"/>
  <c r="E37" i="1"/>
  <c r="E35" i="1"/>
  <c r="E31" i="1"/>
  <c r="E29" i="1"/>
  <c r="E27" i="1"/>
  <c r="E25" i="1"/>
  <c r="E23" i="1"/>
  <c r="E21" i="1"/>
  <c r="E19" i="1"/>
  <c r="E17" i="1"/>
  <c r="E15" i="1"/>
  <c r="E13" i="1"/>
  <c r="E11" i="1"/>
  <c r="C39" i="2"/>
  <c r="D103" i="1" l="1"/>
  <c r="D140" i="1"/>
  <c r="D114" i="1"/>
  <c r="H103" i="1" l="1"/>
  <c r="G93" i="1"/>
  <c r="G49" i="1"/>
  <c r="G47" i="1"/>
  <c r="G39" i="1"/>
  <c r="G35" i="1"/>
  <c r="G27" i="1"/>
  <c r="G19" i="1"/>
  <c r="D93" i="1"/>
  <c r="H102" i="1"/>
  <c r="F77" i="1" l="1"/>
  <c r="F55" i="1"/>
  <c r="F49" i="1"/>
  <c r="C23" i="2"/>
  <c r="C17" i="2"/>
  <c r="G64" i="3" l="1"/>
  <c r="F64" i="3"/>
  <c r="D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E64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64" i="3" l="1"/>
  <c r="G61" i="1"/>
  <c r="G60" i="1" s="1"/>
  <c r="G43" i="1"/>
  <c r="G42" i="1" s="1"/>
  <c r="G29" i="1"/>
  <c r="C100" i="1"/>
  <c r="C158" i="1"/>
  <c r="C157" i="1"/>
  <c r="C156" i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K104" i="1"/>
  <c r="J104" i="1"/>
  <c r="I104" i="1"/>
  <c r="H104" i="1"/>
  <c r="G104" i="1"/>
  <c r="F104" i="1"/>
  <c r="E104" i="1"/>
  <c r="D104" i="1"/>
  <c r="C103" i="1"/>
  <c r="C102" i="1"/>
  <c r="C101" i="1"/>
  <c r="H98" i="1"/>
  <c r="F98" i="1"/>
  <c r="G99" i="1"/>
  <c r="C99" i="1"/>
  <c r="K98" i="1"/>
  <c r="J98" i="1"/>
  <c r="I98" i="1"/>
  <c r="E98" i="1"/>
  <c r="C97" i="1"/>
  <c r="C96" i="1" s="1"/>
  <c r="K96" i="1"/>
  <c r="J96" i="1"/>
  <c r="H96" i="1"/>
  <c r="G96" i="1"/>
  <c r="F96" i="1"/>
  <c r="E96" i="1"/>
  <c r="D96" i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2" i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8" i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C67" i="1"/>
  <c r="C66" i="1" s="1"/>
  <c r="J66" i="1"/>
  <c r="H66" i="1"/>
  <c r="G66" i="1"/>
  <c r="F66" i="1"/>
  <c r="E66" i="1"/>
  <c r="D66" i="1"/>
  <c r="C65" i="1"/>
  <c r="C64" i="1" s="1"/>
  <c r="K64" i="1"/>
  <c r="J64" i="1"/>
  <c r="H64" i="1"/>
  <c r="G64" i="1"/>
  <c r="F64" i="1"/>
  <c r="E64" i="1"/>
  <c r="D64" i="1"/>
  <c r="C63" i="1"/>
  <c r="C62" i="1" s="1"/>
  <c r="K62" i="1"/>
  <c r="J62" i="1"/>
  <c r="H62" i="1"/>
  <c r="G62" i="1"/>
  <c r="F62" i="1"/>
  <c r="E62" i="1"/>
  <c r="D62" i="1"/>
  <c r="K60" i="1"/>
  <c r="J60" i="1"/>
  <c r="H60" i="1"/>
  <c r="F60" i="1"/>
  <c r="E60" i="1"/>
  <c r="D60" i="1"/>
  <c r="C59" i="1"/>
  <c r="C58" i="1" s="1"/>
  <c r="K58" i="1"/>
  <c r="J58" i="1"/>
  <c r="H58" i="1"/>
  <c r="G58" i="1"/>
  <c r="F58" i="1"/>
  <c r="E58" i="1"/>
  <c r="D58" i="1"/>
  <c r="C57" i="1"/>
  <c r="K56" i="1"/>
  <c r="J56" i="1"/>
  <c r="H56" i="1"/>
  <c r="G56" i="1"/>
  <c r="F56" i="1"/>
  <c r="E56" i="1"/>
  <c r="D56" i="1"/>
  <c r="C56" i="1"/>
  <c r="C55" i="1"/>
  <c r="C54" i="1" s="1"/>
  <c r="K54" i="1"/>
  <c r="J54" i="1"/>
  <c r="H54" i="1"/>
  <c r="G54" i="1"/>
  <c r="F54" i="1"/>
  <c r="E54" i="1"/>
  <c r="D54" i="1"/>
  <c r="C53" i="1"/>
  <c r="C52" i="1" s="1"/>
  <c r="K52" i="1"/>
  <c r="J52" i="1"/>
  <c r="H52" i="1"/>
  <c r="G52" i="1"/>
  <c r="F52" i="1"/>
  <c r="E52" i="1"/>
  <c r="D52" i="1"/>
  <c r="C51" i="1"/>
  <c r="C50" i="1" s="1"/>
  <c r="K50" i="1"/>
  <c r="J50" i="1"/>
  <c r="H50" i="1"/>
  <c r="G50" i="1"/>
  <c r="F50" i="1"/>
  <c r="E50" i="1"/>
  <c r="D50" i="1"/>
  <c r="C49" i="1"/>
  <c r="C48" i="1" s="1"/>
  <c r="K48" i="1"/>
  <c r="J48" i="1"/>
  <c r="H48" i="1"/>
  <c r="G48" i="1"/>
  <c r="F48" i="1"/>
  <c r="E48" i="1"/>
  <c r="D48" i="1"/>
  <c r="C47" i="1"/>
  <c r="C46" i="1" s="1"/>
  <c r="K46" i="1"/>
  <c r="J46" i="1"/>
  <c r="H46" i="1"/>
  <c r="G46" i="1"/>
  <c r="F46" i="1"/>
  <c r="E46" i="1"/>
  <c r="D46" i="1"/>
  <c r="C45" i="1"/>
  <c r="C44" i="1" s="1"/>
  <c r="K44" i="1"/>
  <c r="J44" i="1"/>
  <c r="H44" i="1"/>
  <c r="G44" i="1"/>
  <c r="F44" i="1"/>
  <c r="E44" i="1"/>
  <c r="D44" i="1"/>
  <c r="C43" i="1"/>
  <c r="C42" i="1" s="1"/>
  <c r="K42" i="1"/>
  <c r="J42" i="1"/>
  <c r="H42" i="1"/>
  <c r="F42" i="1"/>
  <c r="E42" i="1"/>
  <c r="D42" i="1"/>
  <c r="C41" i="1"/>
  <c r="C40" i="1" s="1"/>
  <c r="K40" i="1"/>
  <c r="J40" i="1"/>
  <c r="H40" i="1"/>
  <c r="G40" i="1"/>
  <c r="F40" i="1"/>
  <c r="E40" i="1"/>
  <c r="D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C34" i="1" s="1"/>
  <c r="K34" i="1"/>
  <c r="J34" i="1"/>
  <c r="H34" i="1"/>
  <c r="G34" i="1"/>
  <c r="F34" i="1"/>
  <c r="E34" i="1"/>
  <c r="D34" i="1"/>
  <c r="C33" i="1"/>
  <c r="C32" i="1" s="1"/>
  <c r="K32" i="1"/>
  <c r="J32" i="1"/>
  <c r="H32" i="1"/>
  <c r="G32" i="1"/>
  <c r="F32" i="1"/>
  <c r="E32" i="1"/>
  <c r="D32" i="1"/>
  <c r="C31" i="1"/>
  <c r="C30" i="1" s="1"/>
  <c r="K30" i="1"/>
  <c r="J30" i="1"/>
  <c r="H30" i="1"/>
  <c r="G30" i="1"/>
  <c r="F30" i="1"/>
  <c r="E30" i="1"/>
  <c r="D30" i="1"/>
  <c r="C29" i="1"/>
  <c r="C28" i="1" s="1"/>
  <c r="K28" i="1"/>
  <c r="J28" i="1"/>
  <c r="H28" i="1"/>
  <c r="G28" i="1"/>
  <c r="F28" i="1"/>
  <c r="E28" i="1"/>
  <c r="D28" i="1"/>
  <c r="C27" i="1"/>
  <c r="C26" i="1" s="1"/>
  <c r="K26" i="1"/>
  <c r="J26" i="1"/>
  <c r="H26" i="1"/>
  <c r="G26" i="1"/>
  <c r="F26" i="1"/>
  <c r="E26" i="1"/>
  <c r="D26" i="1"/>
  <c r="G24" i="1"/>
  <c r="K24" i="1"/>
  <c r="J24" i="1"/>
  <c r="H24" i="1"/>
  <c r="F24" i="1"/>
  <c r="E24" i="1"/>
  <c r="D24" i="1"/>
  <c r="C23" i="1"/>
  <c r="C22" i="1" s="1"/>
  <c r="K22" i="1"/>
  <c r="J22" i="1"/>
  <c r="H22" i="1"/>
  <c r="G22" i="1"/>
  <c r="F22" i="1"/>
  <c r="E22" i="1"/>
  <c r="D22" i="1"/>
  <c r="C21" i="1"/>
  <c r="C20" i="1" s="1"/>
  <c r="K20" i="1"/>
  <c r="J20" i="1"/>
  <c r="H20" i="1"/>
  <c r="F20" i="1"/>
  <c r="E20" i="1"/>
  <c r="D20" i="1"/>
  <c r="C19" i="1"/>
  <c r="C18" i="1" s="1"/>
  <c r="K18" i="1"/>
  <c r="J18" i="1"/>
  <c r="H18" i="1"/>
  <c r="G18" i="1"/>
  <c r="F18" i="1"/>
  <c r="E18" i="1"/>
  <c r="D18" i="1"/>
  <c r="C17" i="1"/>
  <c r="C16" i="1" s="1"/>
  <c r="K16" i="1"/>
  <c r="J16" i="1"/>
  <c r="H16" i="1"/>
  <c r="G16" i="1"/>
  <c r="F16" i="1"/>
  <c r="E16" i="1"/>
  <c r="D16" i="1"/>
  <c r="C15" i="1"/>
  <c r="C14" i="1" s="1"/>
  <c r="K14" i="1"/>
  <c r="J14" i="1"/>
  <c r="H14" i="1"/>
  <c r="G14" i="1"/>
  <c r="F14" i="1"/>
  <c r="E14" i="1"/>
  <c r="D14" i="1"/>
  <c r="C13" i="1"/>
  <c r="C12" i="1" s="1"/>
  <c r="K12" i="1"/>
  <c r="J12" i="1"/>
  <c r="H12" i="1"/>
  <c r="G12" i="1"/>
  <c r="F12" i="1"/>
  <c r="E12" i="1"/>
  <c r="D12" i="1"/>
  <c r="G11" i="1"/>
  <c r="C11" i="1" s="1"/>
  <c r="C10" i="1"/>
  <c r="K10" i="1"/>
  <c r="J10" i="1"/>
  <c r="H10" i="1"/>
  <c r="F10" i="1"/>
  <c r="E10" i="1"/>
  <c r="D10" i="1"/>
  <c r="G10" i="1" l="1"/>
  <c r="C61" i="1"/>
  <c r="C60" i="1" s="1"/>
  <c r="C104" i="1"/>
  <c r="C134" i="1"/>
  <c r="C113" i="1"/>
  <c r="C154" i="1"/>
  <c r="C89" i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C159" i="1" l="1"/>
  <c r="G163" i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D166" i="1"/>
  <c r="C24" i="2" l="1"/>
  <c r="C45" i="2"/>
  <c r="C40" i="2"/>
  <c r="C37" i="2" s="1"/>
  <c r="C36" i="2" s="1"/>
  <c r="C29" i="2"/>
  <c r="C19" i="2"/>
  <c r="C16" i="2"/>
  <c r="C12" i="2"/>
  <c r="C9" i="2"/>
  <c r="C8" i="2" l="1"/>
  <c r="C18" i="2"/>
  <c r="D165" i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J162" i="1"/>
  <c r="K162" i="1"/>
  <c r="C35" i="2" l="1"/>
  <c r="C44" i="2" s="1"/>
  <c r="C47" i="2" s="1"/>
  <c r="C166" i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67" i="1" l="1"/>
</calcChain>
</file>

<file path=xl/sharedStrings.xml><?xml version="1.0" encoding="utf-8"?>
<sst xmlns="http://schemas.openxmlformats.org/spreadsheetml/2006/main" count="396" uniqueCount="240">
  <si>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</si>
  <si>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</si>
  <si>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</si>
  <si>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</si>
  <si>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</si>
  <si>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</si>
  <si>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</si>
  <si>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</si>
  <si>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</si>
  <si>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</si>
  <si>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</si>
  <si>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</si>
  <si>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</si>
  <si>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</si>
  <si>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</si>
  <si>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</si>
  <si>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</si>
  <si>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</si>
  <si>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</si>
  <si>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</si>
  <si>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</si>
  <si>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</si>
  <si>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</si>
  <si>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</si>
  <si>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</si>
  <si>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</si>
  <si>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</si>
  <si>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</si>
  <si>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</si>
  <si>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</si>
  <si>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</si>
  <si>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</si>
  <si>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</si>
  <si>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</si>
  <si>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</si>
  <si>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</si>
  <si>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</si>
  <si>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</si>
  <si>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</si>
  <si>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</si>
  <si>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</si>
  <si>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</si>
  <si>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</si>
  <si>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</si>
  <si>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</si>
  <si>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</si>
  <si>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</si>
  <si>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</si>
  <si>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</si>
  <si>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</si>
  <si>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</si>
  <si>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</si>
  <si>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</si>
  <si>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</si>
  <si>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</si>
  <si>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</si>
  <si>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</si>
  <si>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</si>
  <si>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</si>
  <si>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</si>
  <si>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</si>
  <si>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</si>
  <si>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</si>
  <si>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</si>
  <si>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</si>
  <si>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</si>
  <si>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</si>
  <si>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</si>
  <si>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</si>
  <si>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</si>
  <si>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KĖDAINIŲ RAJONO  SAVIVALDYBĖS 2025 METŲ  BIUDŽETO ASIGNAVIMAI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</si>
  <si>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</si>
  <si>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</si>
  <si>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</si>
  <si>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</si>
  <si>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</si>
  <si>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</si>
  <si>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</si>
  <si>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</si>
  <si>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</si>
  <si>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</si>
  <si>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</si>
  <si>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</si>
  <si>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</si>
  <si>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</si>
  <si>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</si>
  <si>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</si>
  <si>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</si>
  <si>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</si>
  <si>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</si>
  <si>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</si>
  <si>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</si>
  <si>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</si>
  <si>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</si>
  <si>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</si>
  <si>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</si>
  <si>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</si>
  <si>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</si>
  <si>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</si>
  <si>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</si>
  <si>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</si>
  <si>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</si>
  <si>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</si>
  <si>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</si>
  <si>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</si>
  <si>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</si>
  <si>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</si>
  <si>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</si>
  <si>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</si>
  <si>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</si>
  <si>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</si>
  <si>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</si>
  <si>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</si>
  <si>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</si>
  <si>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</si>
  <si>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</si>
  <si>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</si>
  <si>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</si>
  <si>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</si>
  <si>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</si>
  <si>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</si>
  <si>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</si>
  <si>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</si>
  <si>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</si>
  <si>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</si>
  <si>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</si>
  <si>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</si>
  <si>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</si>
  <si>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</si>
  <si>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</si>
  <si>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</si>
  <si>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</si>
  <si>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</si>
  <si>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</si>
  <si>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</si>
  <si>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</si>
  <si>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</si>
  <si>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</si>
  <si>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</si>
  <si>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</si>
  <si>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</si>
  <si>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</si>
  <si>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</si>
  <si>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</si>
  <si>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</si>
  <si>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</si>
  <si>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</si>
  <si>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</si>
  <si>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</si>
  <si>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</si>
  <si>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</si>
  <si>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</si>
  <si>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</si>
  <si>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</si>
  <si>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</si>
  <si>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</si>
  <si>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</si>
  <si>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</si>
  <si>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</si>
  <si>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</si>
  <si>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</si>
  <si>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</si>
  <si>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</si>
  <si>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</si>
  <si>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</si>
  <si>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</si>
  <si>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</si>
  <si>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</si>
  <si>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</si>
  <si>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</si>
  <si>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</si>
  <si>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</si>
  <si>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</si>
  <si>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</si>
  <si>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         KĖDAINIŲ RAJONO SAVIVALDYBĖS 2025 METŲ BIUDŽETO PAJAMOS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</si>
  <si>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</si>
  <si>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</si>
  <si>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</si>
  <si>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</si>
  <si>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</si>
  <si>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</si>
  <si>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</si>
  <si>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</si>
  <si>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</si>
  <si>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</si>
  <si>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</si>
  <si>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</si>
  <si>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</si>
  <si>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KITOS PAJAMOS (12+17+22+25+26)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</si>
  <si>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</si>
  <si>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</si>
  <si>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</si>
  <si>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</si>
  <si>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 (18+19+20+21)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</si>
  <si>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</si>
  <si>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</si>
  <si>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</si>
  <si>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</si>
  <si>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</si>
  <si>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</si>
  <si>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</si>
  <si>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</si>
  <si>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</si>
  <si>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</si>
  <si>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</si>
  <si>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</si>
  <si>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</si>
  <si>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</si>
  <si>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</si>
  <si>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</si>
  <si>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</si>
  <si>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</si>
  <si>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</si>
  <si>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</si>
  <si>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</si>
  <si>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</si>
  <si>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</si>
  <si>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</si>
  <si>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</si>
  <si>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</si>
  <si>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>39</t>
  </si>
  <si>
    <t xml:space="preserve">     IŠ VISO (36+37+38)</t>
  </si>
  <si>
    <t>________________________________________________</t>
  </si>
  <si>
    <t>Kėdainių rajono savivaldybės 2025 m. biudžeto išlaidų planas pagal programas ir finansavimo šaltinius</t>
  </si>
  <si>
    <t xml:space="preserve">                                                                                 Kėdainių rajono savivaldybės tarybos</t>
  </si>
  <si>
    <t xml:space="preserve">                      Kėdainių rajono savivaldybės tarybos</t>
  </si>
  <si>
    <t xml:space="preserve">                                                                                                                Kėdainių rajono savivaldybės tarybos  </t>
  </si>
  <si>
    <t>2 priedas</t>
  </si>
  <si>
    <t xml:space="preserve">IŠ BIUDŽETO IŠLAIKOMŲ ĮSTAIGŲ 2025 METŲ PAJAMOS UŽ PREKES IR  PASLAUGAS </t>
  </si>
  <si>
    <t>Aisgnavimų valdytojas</t>
  </si>
  <si>
    <t>Iš viso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</si>
  <si>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</si>
  <si>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</si>
  <si>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</si>
  <si>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</si>
  <si>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</si>
  <si>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</si>
  <si>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                                                                                                                2025 m. lapkričio      d. sprendimo Nr. TS-</t>
  </si>
  <si>
    <t xml:space="preserve">                                                                                 2025 m. lapkričio       d. sprendimo Nr. TS-</t>
  </si>
  <si>
    <t xml:space="preserve">                      2025 m. lapkričio       d. sprendimo Nr. TS-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</si>
</sst>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02">
    <xf numFmtId="0" fontId="0" fillId="0" borderId="0" xfId="0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/>
    <xf numFmtId="165" fontId="3" fillId="0" borderId="4" xfId="0" applyNumberFormat="1" applyFont="1" applyBorder="1"/>
    <xf numFmtId="164" fontId="2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/>
    <xf numFmtId="164" fontId="1" fillId="0" borderId="3" xfId="0" applyNumberFormat="1" applyFont="1" applyBorder="1" applyAlignment="1">
      <alignment horizontal="left" vertical="center"/>
    </xf>
    <xf numFmtId="166" fontId="3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left" vertical="center" wrapText="1"/>
    </xf>
    <xf numFmtId="0" fontId="1" fillId="0" borderId="0" xfId="2" applyFont="1" applyAlignment="1">
      <alignment horizontal="right" vertical="center"/>
    </xf>
    <xf numFmtId="0" fontId="1" fillId="0" borderId="0" xfId="0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167" fontId="1" fillId="0" borderId="0" xfId="0" applyNumberFormat="1" applyFont="1"/>
    <xf numFmtId="0" fontId="2" fillId="0" borderId="1" xfId="2" applyFont="1" applyBorder="1" applyAlignment="1">
      <alignment horizontal="right" vertical="center"/>
    </xf>
    <xf numFmtId="0" fontId="2" fillId="0" borderId="1" xfId="0" applyFont="1" applyBorder="1"/>
    <xf numFmtId="0" fontId="8" fillId="0" borderId="0" xfId="0" applyFont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7" fontId="2" fillId="0" borderId="0" xfId="2" applyNumberFormat="1" applyFont="1"/>
    <xf numFmtId="167" fontId="2" fillId="0" borderId="0" xfId="0" applyNumberFormat="1" applyFont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/>
    <xf numFmtId="164" fontId="1" fillId="0" borderId="0" xfId="0" applyNumberFormat="1" applyFont="1"/>
    <xf numFmtId="164" fontId="1" fillId="0" borderId="1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/>
    </xf>
    <xf numFmtId="164" fontId="1" fillId="0" borderId="3" xfId="1" applyNumberForma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7" fontId="2" fillId="0" borderId="0" xfId="0" applyNumberFormat="1" applyFont="1" applyAlignment="1">
      <alignment horizontal="center" vertical="center"/>
    </xf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Font="1" applyAlignment="1">
      <alignment horizontal="right"/>
    </xf>
    <xf numFmtId="0" fontId="2" fillId="0" borderId="0" xfId="2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F82"/>
  <sheetViews>
    <sheetView topLeftCell="A31" zoomScaleNormal="100" workbookViewId="0">
      <selection activeCell="B6" sqref="B6"/>
    </sheetView>
  </sheetViews>
  <sheetFormatPr defaultColWidth="9.140625" defaultRowHeight="12.75" x14ac:dyDescent="0.2"/>
  <cols>
    <col min="1" max="1" width="6.28515625" style="40" customWidth="1"/>
    <col min="2" max="2" width="69.28515625" style="28" customWidth="1"/>
    <col min="3" max="3" width="15.5703125" style="28" customWidth="1"/>
    <col min="4" max="16384" width="9.140625" style="28"/>
  </cols>
  <sheetData>
    <row r="1" spans="1:3" ht="15.75" x14ac:dyDescent="0.25">
      <c r="A1" s="27"/>
      <c r="B1" s="74" t="s">
        <v>224</v>
      </c>
      <c r="C1" s="74"/>
    </row>
    <row r="2" spans="1:3" ht="15.75" x14ac:dyDescent="0.25">
      <c r="A2" s="27"/>
      <c r="B2" s="75" t="s">
        <v>238</v>
      </c>
      <c r="C2" s="75"/>
    </row>
    <row r="3" spans="1:3" ht="15.75" x14ac:dyDescent="0.25">
      <c r="A3" s="76" t="s">
        <v>173</v>
      </c>
      <c r="B3" s="76"/>
      <c r="C3" s="76"/>
    </row>
    <row r="4" spans="1:3" x14ac:dyDescent="0.2">
      <c r="A4" s="27"/>
      <c r="B4" s="29"/>
      <c r="C4" s="29"/>
    </row>
    <row r="5" spans="1:3" ht="15" customHeight="1" x14ac:dyDescent="0.2">
      <c r="A5" s="77" t="s">
        <v>174</v>
      </c>
      <c r="B5" s="77"/>
      <c r="C5" s="77"/>
    </row>
    <row r="6" spans="1:3" x14ac:dyDescent="0.2">
      <c r="A6" s="30"/>
      <c r="B6" s="31"/>
      <c r="C6" s="29" t="s">
        <v>175</v>
      </c>
    </row>
    <row r="7" spans="1:3" x14ac:dyDescent="0.2">
      <c r="A7" s="32" t="s">
        <v>170</v>
      </c>
      <c r="B7" s="33" t="s">
        <v>176</v>
      </c>
      <c r="C7" s="33" t="s">
        <v>177</v>
      </c>
    </row>
    <row r="8" spans="1:3" x14ac:dyDescent="0.2">
      <c r="A8" s="34">
        <v>1</v>
      </c>
      <c r="B8" s="32" t="s">
        <v>178</v>
      </c>
      <c r="C8" s="35">
        <f>+C9+C12+C16</f>
        <v>55565</v>
      </c>
    </row>
    <row r="9" spans="1:3" x14ac:dyDescent="0.2">
      <c r="A9" s="34">
        <v>2</v>
      </c>
      <c r="B9" s="32" t="s">
        <v>179</v>
      </c>
      <c r="C9" s="35">
        <f>+C10+C11</f>
        <v>52105</v>
      </c>
    </row>
    <row r="10" spans="1:3" ht="25.5" x14ac:dyDescent="0.2">
      <c r="A10" s="34">
        <v>3</v>
      </c>
      <c r="B10" s="36" t="s">
        <v>180</v>
      </c>
      <c r="C10" s="37">
        <v>52055</v>
      </c>
    </row>
    <row r="11" spans="1:3" x14ac:dyDescent="0.2">
      <c r="A11" s="34">
        <v>4</v>
      </c>
      <c r="B11" s="36" t="s">
        <v>181</v>
      </c>
      <c r="C11" s="37">
        <v>50</v>
      </c>
    </row>
    <row r="12" spans="1:3" x14ac:dyDescent="0.2">
      <c r="A12" s="34">
        <v>5</v>
      </c>
      <c r="B12" s="32" t="s">
        <v>182</v>
      </c>
      <c r="C12" s="38">
        <f>+C13+C15+C14</f>
        <v>2970</v>
      </c>
    </row>
    <row r="13" spans="1:3" x14ac:dyDescent="0.2">
      <c r="A13" s="34">
        <v>6</v>
      </c>
      <c r="B13" s="39" t="s">
        <v>183</v>
      </c>
      <c r="C13" s="37">
        <v>1350</v>
      </c>
    </row>
    <row r="14" spans="1:3" x14ac:dyDescent="0.2">
      <c r="A14" s="34">
        <v>7</v>
      </c>
      <c r="B14" s="39" t="s">
        <v>184</v>
      </c>
      <c r="C14" s="37">
        <v>20</v>
      </c>
    </row>
    <row r="15" spans="1:3" x14ac:dyDescent="0.2">
      <c r="A15" s="34">
        <v>8</v>
      </c>
      <c r="B15" s="39" t="s">
        <v>185</v>
      </c>
      <c r="C15" s="37">
        <v>1600</v>
      </c>
    </row>
    <row r="16" spans="1:3" x14ac:dyDescent="0.2">
      <c r="A16" s="34">
        <v>9</v>
      </c>
      <c r="B16" s="32" t="s">
        <v>186</v>
      </c>
      <c r="C16" s="35">
        <f>+C17</f>
        <v>490</v>
      </c>
    </row>
    <row r="17" spans="1:5" s="40" customFormat="1" ht="15.75" customHeight="1" x14ac:dyDescent="0.25">
      <c r="A17" s="34">
        <v>10</v>
      </c>
      <c r="B17" s="39" t="s">
        <v>187</v>
      </c>
      <c r="C17" s="37">
        <f>330+160</f>
        <v>490</v>
      </c>
      <c r="E17" s="41"/>
    </row>
    <row r="18" spans="1:5" x14ac:dyDescent="0.2">
      <c r="A18" s="34">
        <v>11</v>
      </c>
      <c r="B18" s="32" t="s">
        <v>188</v>
      </c>
      <c r="C18" s="38">
        <f>C19+C24+C29+C32+C33</f>
        <v>6124.3</v>
      </c>
    </row>
    <row r="19" spans="1:5" x14ac:dyDescent="0.2">
      <c r="A19" s="34">
        <v>12</v>
      </c>
      <c r="B19" s="32" t="s">
        <v>189</v>
      </c>
      <c r="C19" s="38">
        <f>C21+C22+C23+C20</f>
        <v>820</v>
      </c>
    </row>
    <row r="20" spans="1:5" x14ac:dyDescent="0.2">
      <c r="A20" s="34">
        <v>13</v>
      </c>
      <c r="B20" s="42" t="s">
        <v>190</v>
      </c>
      <c r="C20" s="37">
        <v>50</v>
      </c>
    </row>
    <row r="21" spans="1:5" ht="25.5" x14ac:dyDescent="0.2">
      <c r="A21" s="34">
        <v>14</v>
      </c>
      <c r="B21" s="36" t="s">
        <v>191</v>
      </c>
      <c r="C21" s="37">
        <v>650</v>
      </c>
    </row>
    <row r="22" spans="1:5" x14ac:dyDescent="0.2">
      <c r="A22" s="34">
        <v>15</v>
      </c>
      <c r="B22" s="39" t="s">
        <v>192</v>
      </c>
      <c r="C22" s="37">
        <v>50</v>
      </c>
    </row>
    <row r="23" spans="1:5" x14ac:dyDescent="0.2">
      <c r="A23" s="34">
        <v>16</v>
      </c>
      <c r="B23" s="43" t="s">
        <v>172</v>
      </c>
      <c r="C23" s="37">
        <f>60+10</f>
        <v>70</v>
      </c>
    </row>
    <row r="24" spans="1:5" x14ac:dyDescent="0.2">
      <c r="A24" s="34">
        <v>17</v>
      </c>
      <c r="B24" s="32" t="s">
        <v>193</v>
      </c>
      <c r="C24" s="38">
        <f>+C26+C25+C27+C28</f>
        <v>3181.8</v>
      </c>
    </row>
    <row r="25" spans="1:5" x14ac:dyDescent="0.2">
      <c r="A25" s="34">
        <v>18</v>
      </c>
      <c r="B25" s="39" t="s">
        <v>194</v>
      </c>
      <c r="C25" s="37">
        <f>425.6+6-8</f>
        <v>423.6</v>
      </c>
    </row>
    <row r="26" spans="1:5" x14ac:dyDescent="0.2">
      <c r="A26" s="34">
        <v>19</v>
      </c>
      <c r="B26" s="39" t="s">
        <v>195</v>
      </c>
      <c r="C26" s="37">
        <f>233.7+1.6+2.6+14.7+1.3</f>
        <v>253.89999999999998</v>
      </c>
    </row>
    <row r="27" spans="1:5" x14ac:dyDescent="0.2">
      <c r="A27" s="34">
        <v>20</v>
      </c>
      <c r="B27" s="39" t="s">
        <v>196</v>
      </c>
      <c r="C27" s="37">
        <f>2288.3+106</f>
        <v>2394.3000000000002</v>
      </c>
    </row>
    <row r="28" spans="1:5" x14ac:dyDescent="0.2">
      <c r="A28" s="34">
        <v>21</v>
      </c>
      <c r="B28" s="39" t="s">
        <v>171</v>
      </c>
      <c r="C28" s="37">
        <v>110</v>
      </c>
    </row>
    <row r="29" spans="1:5" x14ac:dyDescent="0.2">
      <c r="A29" s="34">
        <v>22</v>
      </c>
      <c r="B29" s="32" t="s">
        <v>197</v>
      </c>
      <c r="C29" s="35">
        <f>+C30+C31</f>
        <v>2004.5</v>
      </c>
    </row>
    <row r="30" spans="1:5" x14ac:dyDescent="0.2">
      <c r="A30" s="34">
        <v>23</v>
      </c>
      <c r="B30" s="39" t="s">
        <v>198</v>
      </c>
      <c r="C30" s="37">
        <v>50</v>
      </c>
    </row>
    <row r="31" spans="1:5" x14ac:dyDescent="0.2">
      <c r="A31" s="34">
        <v>24</v>
      </c>
      <c r="B31" s="39" t="s">
        <v>199</v>
      </c>
      <c r="C31" s="37">
        <v>1954.5</v>
      </c>
    </row>
    <row r="32" spans="1:5" x14ac:dyDescent="0.2">
      <c r="A32" s="34">
        <v>25</v>
      </c>
      <c r="B32" s="32" t="s">
        <v>200</v>
      </c>
      <c r="C32" s="38">
        <v>50</v>
      </c>
    </row>
    <row r="33" spans="1:5" x14ac:dyDescent="0.2">
      <c r="A33" s="34">
        <v>26</v>
      </c>
      <c r="B33" s="32" t="s">
        <v>201</v>
      </c>
      <c r="C33" s="38">
        <v>68</v>
      </c>
    </row>
    <row r="34" spans="1:5" x14ac:dyDescent="0.2">
      <c r="A34" s="34">
        <v>27</v>
      </c>
      <c r="B34" s="44" t="s">
        <v>202</v>
      </c>
      <c r="C34" s="38">
        <v>257</v>
      </c>
      <c r="D34" s="45"/>
    </row>
    <row r="35" spans="1:5" s="40" customFormat="1" x14ac:dyDescent="0.25">
      <c r="A35" s="34">
        <v>28</v>
      </c>
      <c r="B35" s="46" t="s">
        <v>203</v>
      </c>
      <c r="C35" s="38">
        <f>+C8+C18+C34</f>
        <v>61946.3</v>
      </c>
      <c r="E35" s="41"/>
    </row>
    <row r="36" spans="1:5" s="40" customFormat="1" ht="12.75" customHeight="1" x14ac:dyDescent="0.25">
      <c r="A36" s="34">
        <v>29</v>
      </c>
      <c r="B36" s="32" t="s">
        <v>204</v>
      </c>
      <c r="C36" s="38">
        <f>+C37+C42+C43</f>
        <v>47868.099999999991</v>
      </c>
      <c r="E36" s="41"/>
    </row>
    <row r="37" spans="1:5" s="40" customFormat="1" ht="15" customHeight="1" x14ac:dyDescent="0.2">
      <c r="A37" s="34">
        <v>30</v>
      </c>
      <c r="B37" s="47" t="s">
        <v>205</v>
      </c>
      <c r="C37" s="38">
        <f>+C38+C39+C40</f>
        <v>34205.399999999994</v>
      </c>
      <c r="E37" s="41"/>
    </row>
    <row r="38" spans="1:5" ht="12.6" customHeight="1" x14ac:dyDescent="0.2">
      <c r="A38" s="34">
        <v>31</v>
      </c>
      <c r="B38" s="39" t="s">
        <v>206</v>
      </c>
      <c r="C38" s="37">
        <f>7732.4-2.6+6.4-26-71.3+250-22.7</f>
        <v>7866.1999999999989</v>
      </c>
      <c r="D38" s="48"/>
    </row>
    <row r="39" spans="1:5" ht="12.6" customHeight="1" x14ac:dyDescent="0.2">
      <c r="A39" s="34">
        <v>32</v>
      </c>
      <c r="B39" s="39" t="s">
        <v>207</v>
      </c>
      <c r="C39" s="37">
        <f>25016.3+536.8</f>
        <v>25553.1</v>
      </c>
    </row>
    <row r="40" spans="1:5" ht="12.6" customHeight="1" x14ac:dyDescent="0.2">
      <c r="A40" s="34">
        <v>33</v>
      </c>
      <c r="B40" s="39" t="s">
        <v>208</v>
      </c>
      <c r="C40" s="49">
        <f>+C41</f>
        <v>786.1</v>
      </c>
    </row>
    <row r="41" spans="1:5" ht="12.6" customHeight="1" x14ac:dyDescent="0.2">
      <c r="A41" s="50" t="s">
        <v>109</v>
      </c>
      <c r="B41" s="36" t="s">
        <v>209</v>
      </c>
      <c r="C41" s="37">
        <v>786.1</v>
      </c>
    </row>
    <row r="42" spans="1:5" x14ac:dyDescent="0.2">
      <c r="A42" s="50" t="s">
        <v>210</v>
      </c>
      <c r="B42" s="47" t="s">
        <v>211</v>
      </c>
      <c r="C42" s="38">
        <f>5385.7+131.6+201.8+276.2+1.3-19-1.1+398.3+49.6-44.2-5.1+2512.6</f>
        <v>8887.7000000000007</v>
      </c>
    </row>
    <row r="43" spans="1:5" x14ac:dyDescent="0.2">
      <c r="A43" s="50" t="s">
        <v>212</v>
      </c>
      <c r="B43" s="44" t="s">
        <v>213</v>
      </c>
      <c r="C43" s="35">
        <f>6480.4+1387.3-3092.7</f>
        <v>4775</v>
      </c>
    </row>
    <row r="44" spans="1:5" ht="16.5" customHeight="1" x14ac:dyDescent="0.2">
      <c r="A44" s="50" t="s">
        <v>214</v>
      </c>
      <c r="B44" s="46" t="s">
        <v>215</v>
      </c>
      <c r="C44" s="38">
        <f>+C35+C36</f>
        <v>109814.39999999999</v>
      </c>
    </row>
    <row r="45" spans="1:5" ht="12.6" customHeight="1" x14ac:dyDescent="0.2">
      <c r="A45" s="50" t="s">
        <v>216</v>
      </c>
      <c r="B45" s="51" t="s">
        <v>217</v>
      </c>
      <c r="C45" s="49">
        <f>2028.8+1000</f>
        <v>3028.8</v>
      </c>
    </row>
    <row r="46" spans="1:5" ht="12.6" customHeight="1" x14ac:dyDescent="0.2">
      <c r="A46" s="50" t="s">
        <v>218</v>
      </c>
      <c r="B46" s="51" t="s">
        <v>219</v>
      </c>
      <c r="C46" s="37">
        <v>8858.5</v>
      </c>
    </row>
    <row r="47" spans="1:5" x14ac:dyDescent="0.2">
      <c r="A47" s="50" t="s">
        <v>220</v>
      </c>
      <c r="B47" s="52" t="s">
        <v>221</v>
      </c>
      <c r="C47" s="35">
        <f>+C44+C45+C46</f>
        <v>121701.7</v>
      </c>
    </row>
    <row r="48" spans="1:5" ht="12.6" customHeight="1" x14ac:dyDescent="0.2">
      <c r="A48" s="30"/>
      <c r="B48" s="29" t="s">
        <v>222</v>
      </c>
      <c r="C48" s="53"/>
    </row>
    <row r="49" spans="1:6" ht="12.6" customHeight="1" x14ac:dyDescent="0.2">
      <c r="A49" s="30"/>
      <c r="B49" s="29"/>
      <c r="C49" s="54"/>
    </row>
    <row r="50" spans="1:6" ht="12.6" customHeight="1" x14ac:dyDescent="0.2">
      <c r="A50" s="30"/>
      <c r="B50" s="29"/>
      <c r="C50" s="54"/>
    </row>
    <row r="51" spans="1:6" ht="12.6" customHeight="1" x14ac:dyDescent="0.2">
      <c r="B51" s="2"/>
    </row>
    <row r="52" spans="1:6" ht="12.6" customHeight="1" x14ac:dyDescent="0.2">
      <c r="B52" s="2"/>
      <c r="C52" s="54"/>
      <c r="F52" s="45"/>
    </row>
    <row r="53" spans="1:6" ht="12.6" customHeight="1" x14ac:dyDescent="0.2">
      <c r="B53" s="2"/>
      <c r="C53" s="54"/>
    </row>
    <row r="54" spans="1:6" ht="12.6" customHeight="1" x14ac:dyDescent="0.2">
      <c r="B54" s="2"/>
      <c r="C54" s="54"/>
    </row>
    <row r="55" spans="1:6" ht="12.6" customHeight="1" x14ac:dyDescent="0.2">
      <c r="B55" s="2"/>
      <c r="C55" s="45"/>
    </row>
    <row r="56" spans="1:6" ht="12.6" customHeight="1" x14ac:dyDescent="0.2">
      <c r="B56" s="2"/>
      <c r="C56" s="45"/>
    </row>
    <row r="57" spans="1:6" ht="12.6" customHeight="1" x14ac:dyDescent="0.2">
      <c r="B57" s="2"/>
      <c r="C57" s="54"/>
    </row>
    <row r="58" spans="1:6" ht="12.6" customHeight="1" x14ac:dyDescent="0.2">
      <c r="B58" s="2"/>
      <c r="C58" s="54"/>
    </row>
    <row r="59" spans="1:6" x14ac:dyDescent="0.2">
      <c r="B59" s="2"/>
      <c r="C59" s="54"/>
    </row>
    <row r="60" spans="1:6" x14ac:dyDescent="0.2">
      <c r="C60" s="54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FCE7-52E2-436A-BB7A-972824474978}">
  <sheetPr>
    <pageSetUpPr fitToPage="1"/>
  </sheetPr>
  <dimension ref="A1:L74"/>
  <sheetViews>
    <sheetView tabSelected="1" zoomScaleNormal="100" workbookViewId="0">
      <selection activeCell="L13" sqref="L13"/>
    </sheetView>
  </sheetViews>
  <sheetFormatPr defaultColWidth="9.140625" defaultRowHeight="12.75" x14ac:dyDescent="0.2"/>
  <cols>
    <col min="1" max="1" width="4.140625" style="28" customWidth="1"/>
    <col min="2" max="2" width="50.85546875" style="28" customWidth="1"/>
    <col min="3" max="3" width="8.5703125" style="28" customWidth="1"/>
    <col min="4" max="4" width="8.85546875" style="28" customWidth="1"/>
    <col min="5" max="5" width="11.7109375" style="2" customWidth="1"/>
    <col min="6" max="6" width="12.42578125" style="28" customWidth="1"/>
    <col min="7" max="7" width="9.140625" style="28"/>
    <col min="8" max="8" width="6.140625" style="28" customWidth="1"/>
    <col min="9" max="9" width="4.42578125" style="28" customWidth="1"/>
    <col min="10" max="16384" width="9.140625" style="28"/>
  </cols>
  <sheetData>
    <row r="1" spans="1:12" ht="15.75" customHeight="1" x14ac:dyDescent="0.25">
      <c r="B1" s="75" t="s">
        <v>226</v>
      </c>
      <c r="C1" s="75"/>
      <c r="D1" s="75"/>
      <c r="E1" s="75"/>
      <c r="F1" s="75"/>
      <c r="G1" s="75"/>
    </row>
    <row r="2" spans="1:12" ht="15.75" customHeight="1" x14ac:dyDescent="0.25">
      <c r="B2" s="75" t="s">
        <v>237</v>
      </c>
      <c r="C2" s="75"/>
      <c r="D2" s="75"/>
      <c r="E2" s="75"/>
      <c r="F2" s="75"/>
      <c r="G2" s="75"/>
    </row>
    <row r="3" spans="1:12" ht="15.75" x14ac:dyDescent="0.25">
      <c r="B3" s="55"/>
      <c r="C3" s="55"/>
      <c r="D3" s="55"/>
      <c r="E3" s="79" t="s">
        <v>227</v>
      </c>
      <c r="F3" s="79"/>
      <c r="G3" s="79"/>
    </row>
    <row r="5" spans="1:12" x14ac:dyDescent="0.2">
      <c r="A5" s="80" t="s">
        <v>228</v>
      </c>
      <c r="B5" s="80"/>
      <c r="C5" s="80"/>
      <c r="D5" s="80"/>
      <c r="E5" s="80"/>
      <c r="F5" s="80"/>
      <c r="G5" s="80"/>
    </row>
    <row r="6" spans="1:12" x14ac:dyDescent="0.2">
      <c r="G6" s="2" t="s">
        <v>74</v>
      </c>
    </row>
    <row r="7" spans="1:12" ht="12.6" customHeight="1" x14ac:dyDescent="0.2">
      <c r="A7" s="81" t="s">
        <v>170</v>
      </c>
      <c r="B7" s="81" t="s">
        <v>229</v>
      </c>
      <c r="C7" s="81" t="s">
        <v>230</v>
      </c>
      <c r="D7" s="83" t="s">
        <v>231</v>
      </c>
      <c r="E7" s="84"/>
      <c r="F7" s="84"/>
      <c r="G7" s="85"/>
    </row>
    <row r="8" spans="1:12" ht="76.5" x14ac:dyDescent="0.2">
      <c r="A8" s="82"/>
      <c r="B8" s="82"/>
      <c r="C8" s="82"/>
      <c r="D8" s="56" t="s">
        <v>232</v>
      </c>
      <c r="E8" s="56" t="s">
        <v>233</v>
      </c>
      <c r="F8" s="56" t="s">
        <v>234</v>
      </c>
      <c r="G8" s="56" t="s">
        <v>171</v>
      </c>
    </row>
    <row r="9" spans="1:12" x14ac:dyDescent="0.2">
      <c r="A9" s="56">
        <v>1</v>
      </c>
      <c r="B9" s="57">
        <v>2</v>
      </c>
      <c r="C9" s="56">
        <v>3</v>
      </c>
      <c r="D9" s="56">
        <v>4</v>
      </c>
      <c r="E9" s="56">
        <v>5</v>
      </c>
      <c r="F9" s="56">
        <v>6</v>
      </c>
      <c r="G9" s="58">
        <v>7</v>
      </c>
    </row>
    <row r="10" spans="1:12" ht="12.6" customHeight="1" x14ac:dyDescent="0.2">
      <c r="A10" s="59">
        <v>1</v>
      </c>
      <c r="B10" s="60" t="s">
        <v>1</v>
      </c>
      <c r="C10" s="37">
        <f>+E10+D10+F10+G10</f>
        <v>53.900000000000006</v>
      </c>
      <c r="D10" s="37"/>
      <c r="E10" s="61">
        <v>1.2</v>
      </c>
      <c r="F10" s="37">
        <f>64.7-12</f>
        <v>52.7</v>
      </c>
      <c r="G10" s="62"/>
      <c r="H10" s="63"/>
      <c r="I10" s="63"/>
      <c r="J10" s="63"/>
      <c r="K10" s="63"/>
      <c r="L10" s="63"/>
    </row>
    <row r="11" spans="1:12" ht="12.6" customHeight="1" x14ac:dyDescent="0.2">
      <c r="A11" s="59">
        <v>2</v>
      </c>
      <c r="B11" s="60" t="s">
        <v>2</v>
      </c>
      <c r="C11" s="37">
        <f t="shared" ref="C11:C63" si="0">+E11+D11+F11+G11</f>
        <v>59.3</v>
      </c>
      <c r="D11" s="37"/>
      <c r="E11" s="61">
        <v>1.5</v>
      </c>
      <c r="F11" s="37">
        <f>77.8-20</f>
        <v>57.8</v>
      </c>
      <c r="G11" s="62"/>
      <c r="H11" s="63"/>
      <c r="I11" s="63"/>
      <c r="J11" s="63"/>
      <c r="K11" s="63"/>
      <c r="L11" s="63"/>
    </row>
    <row r="12" spans="1:12" ht="12.6" customHeight="1" x14ac:dyDescent="0.2">
      <c r="A12" s="59">
        <v>3</v>
      </c>
      <c r="B12" s="60" t="s">
        <v>3</v>
      </c>
      <c r="C12" s="37">
        <f t="shared" si="0"/>
        <v>82</v>
      </c>
      <c r="D12" s="37"/>
      <c r="E12" s="61">
        <v>3</v>
      </c>
      <c r="F12" s="37">
        <v>79</v>
      </c>
      <c r="G12" s="62"/>
      <c r="H12" s="63"/>
      <c r="I12" s="63"/>
      <c r="J12" s="63"/>
      <c r="K12" s="63"/>
      <c r="L12" s="63"/>
    </row>
    <row r="13" spans="1:12" ht="12.6" customHeight="1" x14ac:dyDescent="0.2">
      <c r="A13" s="59">
        <v>4</v>
      </c>
      <c r="B13" s="60" t="s">
        <v>4</v>
      </c>
      <c r="C13" s="37">
        <f t="shared" si="0"/>
        <v>83</v>
      </c>
      <c r="D13" s="37"/>
      <c r="E13" s="61">
        <v>2</v>
      </c>
      <c r="F13" s="37">
        <v>81</v>
      </c>
      <c r="G13" s="62"/>
      <c r="H13" s="63"/>
      <c r="I13" s="63"/>
      <c r="J13" s="63"/>
      <c r="K13" s="63"/>
      <c r="L13" s="63"/>
    </row>
    <row r="14" spans="1:12" ht="12.6" customHeight="1" x14ac:dyDescent="0.2">
      <c r="A14" s="59">
        <v>5</v>
      </c>
      <c r="B14" s="60" t="s">
        <v>5</v>
      </c>
      <c r="C14" s="37">
        <f t="shared" si="0"/>
        <v>91</v>
      </c>
      <c r="D14" s="37"/>
      <c r="E14" s="61">
        <v>3</v>
      </c>
      <c r="F14" s="37">
        <v>88</v>
      </c>
      <c r="G14" s="62"/>
      <c r="H14" s="63"/>
      <c r="I14" s="63"/>
      <c r="J14" s="63"/>
      <c r="K14" s="63"/>
      <c r="L14" s="63"/>
    </row>
    <row r="15" spans="1:12" ht="12.6" customHeight="1" x14ac:dyDescent="0.2">
      <c r="A15" s="59">
        <v>6</v>
      </c>
      <c r="B15" s="60" t="s">
        <v>6</v>
      </c>
      <c r="C15" s="37">
        <f t="shared" si="0"/>
        <v>49</v>
      </c>
      <c r="D15" s="37"/>
      <c r="E15" s="61">
        <v>1.5</v>
      </c>
      <c r="F15" s="37">
        <f>55.5-8</f>
        <v>47.5</v>
      </c>
      <c r="G15" s="62"/>
      <c r="H15" s="63"/>
      <c r="I15" s="63"/>
      <c r="J15" s="63"/>
      <c r="K15" s="63"/>
      <c r="L15" s="63"/>
    </row>
    <row r="16" spans="1:12" ht="12.6" customHeight="1" x14ac:dyDescent="0.2">
      <c r="A16" s="59">
        <v>7</v>
      </c>
      <c r="B16" s="60" t="s">
        <v>7</v>
      </c>
      <c r="C16" s="37">
        <f t="shared" si="0"/>
        <v>92.3</v>
      </c>
      <c r="D16" s="37"/>
      <c r="E16" s="61">
        <v>1.8</v>
      </c>
      <c r="F16" s="37">
        <f>84+6.5</f>
        <v>90.5</v>
      </c>
      <c r="G16" s="62"/>
      <c r="H16" s="63"/>
      <c r="I16" s="63"/>
      <c r="J16" s="63"/>
      <c r="K16" s="63"/>
      <c r="L16" s="63"/>
    </row>
    <row r="17" spans="1:12" ht="12.6" customHeight="1" x14ac:dyDescent="0.2">
      <c r="A17" s="59">
        <v>8</v>
      </c>
      <c r="B17" s="64" t="s">
        <v>8</v>
      </c>
      <c r="C17" s="37">
        <f t="shared" si="0"/>
        <v>52.5</v>
      </c>
      <c r="D17" s="37"/>
      <c r="E17" s="61">
        <f>0.4-0.2</f>
        <v>0.2</v>
      </c>
      <c r="F17" s="37">
        <f>66.3-14</f>
        <v>52.3</v>
      </c>
      <c r="G17" s="62"/>
      <c r="H17" s="63"/>
      <c r="I17" s="63"/>
      <c r="J17" s="63"/>
      <c r="K17" s="63"/>
      <c r="L17" s="63"/>
    </row>
    <row r="18" spans="1:12" ht="12.6" customHeight="1" x14ac:dyDescent="0.2">
      <c r="A18" s="59">
        <v>9</v>
      </c>
      <c r="B18" s="60" t="s">
        <v>9</v>
      </c>
      <c r="C18" s="37">
        <f t="shared" si="0"/>
        <v>23</v>
      </c>
      <c r="D18" s="37">
        <v>10</v>
      </c>
      <c r="E18" s="61">
        <v>13</v>
      </c>
      <c r="F18" s="37"/>
      <c r="G18" s="62"/>
      <c r="H18" s="63"/>
      <c r="I18" s="63"/>
      <c r="J18" s="63"/>
      <c r="K18" s="63"/>
      <c r="L18" s="63"/>
    </row>
    <row r="19" spans="1:12" ht="12.6" customHeight="1" x14ac:dyDescent="0.2">
      <c r="A19" s="59">
        <v>10</v>
      </c>
      <c r="B19" s="60" t="s">
        <v>10</v>
      </c>
      <c r="C19" s="37">
        <f t="shared" si="0"/>
        <v>9.1</v>
      </c>
      <c r="D19" s="37">
        <f>1-0.5</f>
        <v>0.5</v>
      </c>
      <c r="E19" s="61">
        <f>0.2-0.1</f>
        <v>0.1</v>
      </c>
      <c r="F19" s="37">
        <f>10-1.5</f>
        <v>8.5</v>
      </c>
      <c r="G19" s="62"/>
      <c r="H19" s="63"/>
      <c r="I19" s="63"/>
      <c r="J19" s="63"/>
      <c r="K19" s="63"/>
      <c r="L19" s="63"/>
    </row>
    <row r="20" spans="1:12" ht="12.6" customHeight="1" x14ac:dyDescent="0.2">
      <c r="A20" s="59">
        <v>11</v>
      </c>
      <c r="B20" s="16" t="s">
        <v>11</v>
      </c>
      <c r="C20" s="37">
        <f t="shared" si="0"/>
        <v>33.6</v>
      </c>
      <c r="D20" s="37">
        <f>1.8-0.5</f>
        <v>1.3</v>
      </c>
      <c r="E20" s="61">
        <f>2+0.3</f>
        <v>2.2999999999999998</v>
      </c>
      <c r="F20" s="37">
        <v>30</v>
      </c>
      <c r="G20" s="62"/>
      <c r="H20" s="63"/>
      <c r="I20" s="63"/>
      <c r="J20" s="63"/>
      <c r="K20" s="63"/>
      <c r="L20" s="63"/>
    </row>
    <row r="21" spans="1:12" ht="12.6" customHeight="1" x14ac:dyDescent="0.2">
      <c r="A21" s="59">
        <v>12</v>
      </c>
      <c r="B21" s="16" t="s">
        <v>12</v>
      </c>
      <c r="C21" s="37">
        <f t="shared" si="0"/>
        <v>6.9</v>
      </c>
      <c r="D21" s="37">
        <v>3.5</v>
      </c>
      <c r="E21" s="61">
        <v>0.4</v>
      </c>
      <c r="F21" s="37">
        <v>3</v>
      </c>
      <c r="G21" s="62"/>
      <c r="H21" s="63"/>
      <c r="I21" s="63"/>
      <c r="J21" s="63"/>
      <c r="K21" s="63"/>
      <c r="L21" s="63"/>
    </row>
    <row r="22" spans="1:12" ht="12.6" customHeight="1" x14ac:dyDescent="0.2">
      <c r="A22" s="59">
        <v>13</v>
      </c>
      <c r="B22" s="16" t="s">
        <v>13</v>
      </c>
      <c r="C22" s="37">
        <f t="shared" si="0"/>
        <v>17.899999999999999</v>
      </c>
      <c r="D22" s="37">
        <v>4</v>
      </c>
      <c r="E22" s="61">
        <v>0.1</v>
      </c>
      <c r="F22" s="37">
        <v>13.8</v>
      </c>
      <c r="G22" s="62"/>
      <c r="H22" s="63"/>
      <c r="I22" s="63"/>
      <c r="J22" s="63"/>
      <c r="K22" s="63"/>
      <c r="L22" s="63"/>
    </row>
    <row r="23" spans="1:12" ht="12.6" customHeight="1" x14ac:dyDescent="0.2">
      <c r="A23" s="59">
        <v>14</v>
      </c>
      <c r="B23" s="60" t="s">
        <v>14</v>
      </c>
      <c r="C23" s="37">
        <f t="shared" si="0"/>
        <v>35.200000000000003</v>
      </c>
      <c r="D23" s="37">
        <v>2.1</v>
      </c>
      <c r="E23" s="61">
        <v>1.1000000000000001</v>
      </c>
      <c r="F23" s="37">
        <v>32</v>
      </c>
      <c r="G23" s="62"/>
      <c r="H23" s="63"/>
      <c r="I23" s="63"/>
      <c r="J23" s="63"/>
      <c r="K23" s="63"/>
      <c r="L23" s="63"/>
    </row>
    <row r="24" spans="1:12" ht="12.6" customHeight="1" x14ac:dyDescent="0.2">
      <c r="A24" s="59">
        <v>15</v>
      </c>
      <c r="B24" s="16" t="s">
        <v>15</v>
      </c>
      <c r="C24" s="37">
        <f t="shared" si="0"/>
        <v>24.200000000000003</v>
      </c>
      <c r="D24" s="37">
        <f>34.7-17.5</f>
        <v>17.200000000000003</v>
      </c>
      <c r="E24" s="61">
        <f>7-2</f>
        <v>5</v>
      </c>
      <c r="F24" s="37">
        <f>4-2</f>
        <v>2</v>
      </c>
      <c r="G24" s="62"/>
      <c r="H24" s="63"/>
      <c r="I24" s="63"/>
      <c r="J24" s="63"/>
      <c r="K24" s="63"/>
      <c r="L24" s="63"/>
    </row>
    <row r="25" spans="1:12" ht="15" customHeight="1" x14ac:dyDescent="0.2">
      <c r="A25" s="59">
        <v>16</v>
      </c>
      <c r="B25" s="60" t="s">
        <v>16</v>
      </c>
      <c r="C25" s="37">
        <f t="shared" si="0"/>
        <v>7.7</v>
      </c>
      <c r="D25" s="37">
        <v>4</v>
      </c>
      <c r="E25" s="61">
        <v>0.7</v>
      </c>
      <c r="F25" s="37">
        <v>3</v>
      </c>
      <c r="G25" s="62"/>
      <c r="H25" s="63"/>
      <c r="I25" s="63"/>
      <c r="J25" s="63"/>
      <c r="K25" s="63"/>
      <c r="L25" s="63"/>
    </row>
    <row r="26" spans="1:12" ht="12.6" customHeight="1" x14ac:dyDescent="0.2">
      <c r="A26" s="59">
        <v>17</v>
      </c>
      <c r="B26" s="16" t="s">
        <v>17</v>
      </c>
      <c r="C26" s="37">
        <f t="shared" si="0"/>
        <v>10.4</v>
      </c>
      <c r="D26" s="37"/>
      <c r="E26" s="61">
        <f>3.6-0.3</f>
        <v>3.3000000000000003</v>
      </c>
      <c r="F26" s="37">
        <f>8.1-1</f>
        <v>7.1</v>
      </c>
      <c r="G26" s="62"/>
      <c r="H26" s="63"/>
      <c r="I26" s="63"/>
      <c r="J26" s="63"/>
      <c r="K26" s="63"/>
      <c r="L26" s="63"/>
    </row>
    <row r="27" spans="1:12" ht="12.6" customHeight="1" x14ac:dyDescent="0.2">
      <c r="A27" s="59">
        <v>18</v>
      </c>
      <c r="B27" s="16" t="s">
        <v>18</v>
      </c>
      <c r="C27" s="37">
        <f t="shared" si="0"/>
        <v>1.1000000000000001</v>
      </c>
      <c r="D27" s="37">
        <f>0.4-0.2</f>
        <v>0.2</v>
      </c>
      <c r="E27" s="61">
        <v>0.2</v>
      </c>
      <c r="F27" s="37">
        <v>0.7</v>
      </c>
      <c r="G27" s="62"/>
      <c r="H27" s="63"/>
      <c r="I27" s="63"/>
      <c r="J27" s="63"/>
      <c r="K27" s="63"/>
      <c r="L27" s="63"/>
    </row>
    <row r="28" spans="1:12" ht="12.6" customHeight="1" x14ac:dyDescent="0.2">
      <c r="A28" s="59">
        <v>19</v>
      </c>
      <c r="B28" s="16" t="s">
        <v>19</v>
      </c>
      <c r="C28" s="37">
        <f t="shared" si="0"/>
        <v>62</v>
      </c>
      <c r="D28" s="37"/>
      <c r="E28" s="61">
        <f>3-1.5</f>
        <v>1.5</v>
      </c>
      <c r="F28" s="37">
        <f>59+1.5</f>
        <v>60.5</v>
      </c>
      <c r="G28" s="62"/>
      <c r="H28" s="63"/>
      <c r="I28" s="63"/>
      <c r="J28" s="63"/>
      <c r="K28" s="63"/>
      <c r="L28" s="63"/>
    </row>
    <row r="29" spans="1:12" ht="12.6" customHeight="1" x14ac:dyDescent="0.2">
      <c r="A29" s="59">
        <v>20</v>
      </c>
      <c r="B29" s="65" t="s">
        <v>20</v>
      </c>
      <c r="C29" s="37">
        <f t="shared" si="0"/>
        <v>3</v>
      </c>
      <c r="D29" s="37">
        <f>0.1+0.1</f>
        <v>0.2</v>
      </c>
      <c r="E29" s="61">
        <v>0.1</v>
      </c>
      <c r="F29" s="37">
        <f>4.3-1.6</f>
        <v>2.6999999999999997</v>
      </c>
      <c r="G29" s="62"/>
      <c r="H29" s="63"/>
      <c r="I29" s="63"/>
      <c r="J29" s="63"/>
      <c r="K29" s="63"/>
      <c r="L29" s="63"/>
    </row>
    <row r="30" spans="1:12" ht="12.6" customHeight="1" x14ac:dyDescent="0.2">
      <c r="A30" s="59">
        <v>21</v>
      </c>
      <c r="B30" s="16" t="s">
        <v>21</v>
      </c>
      <c r="C30" s="37">
        <f t="shared" si="0"/>
        <v>143.69999999999999</v>
      </c>
      <c r="D30" s="37">
        <f>74.1+6+20</f>
        <v>100.1</v>
      </c>
      <c r="E30" s="61"/>
      <c r="F30" s="37">
        <v>43.6</v>
      </c>
      <c r="G30" s="62"/>
      <c r="H30" s="63"/>
      <c r="I30" s="63"/>
      <c r="J30" s="63"/>
      <c r="K30" s="63"/>
      <c r="L30" s="63"/>
    </row>
    <row r="31" spans="1:12" ht="12.6" customHeight="1" x14ac:dyDescent="0.2">
      <c r="A31" s="59">
        <v>22</v>
      </c>
      <c r="B31" s="60" t="s">
        <v>22</v>
      </c>
      <c r="C31" s="37">
        <f t="shared" si="0"/>
        <v>17.5</v>
      </c>
      <c r="D31" s="37">
        <f>5+0.3</f>
        <v>5.3</v>
      </c>
      <c r="E31" s="61">
        <v>2.6</v>
      </c>
      <c r="F31" s="37">
        <f>11-1.4</f>
        <v>9.6</v>
      </c>
      <c r="G31" s="62"/>
      <c r="H31" s="63"/>
      <c r="I31" s="63"/>
      <c r="J31" s="63"/>
      <c r="K31" s="63"/>
      <c r="L31" s="63"/>
    </row>
    <row r="32" spans="1:12" ht="12.6" customHeight="1" x14ac:dyDescent="0.2">
      <c r="A32" s="59">
        <v>23</v>
      </c>
      <c r="B32" s="66" t="s">
        <v>23</v>
      </c>
      <c r="C32" s="37">
        <f t="shared" si="0"/>
        <v>83</v>
      </c>
      <c r="D32" s="37">
        <v>1.5</v>
      </c>
      <c r="E32" s="61"/>
      <c r="F32" s="37">
        <v>81.5</v>
      </c>
      <c r="G32" s="62"/>
      <c r="H32" s="63"/>
      <c r="I32" s="63"/>
      <c r="J32" s="63"/>
      <c r="K32" s="63"/>
      <c r="L32" s="63"/>
    </row>
    <row r="33" spans="1:12" ht="12.6" customHeight="1" x14ac:dyDescent="0.2">
      <c r="A33" s="59">
        <v>24</v>
      </c>
      <c r="B33" s="66" t="s">
        <v>24</v>
      </c>
      <c r="C33" s="37">
        <f t="shared" si="0"/>
        <v>83.5</v>
      </c>
      <c r="D33" s="37">
        <f>1.3+1.6</f>
        <v>2.9000000000000004</v>
      </c>
      <c r="E33" s="61">
        <v>0.6</v>
      </c>
      <c r="F33" s="37">
        <v>80</v>
      </c>
      <c r="G33" s="62"/>
      <c r="H33" s="63"/>
      <c r="I33" s="63"/>
      <c r="J33" s="63"/>
      <c r="K33" s="63"/>
      <c r="L33" s="63"/>
    </row>
    <row r="34" spans="1:12" ht="12.6" customHeight="1" x14ac:dyDescent="0.2">
      <c r="A34" s="59">
        <v>25</v>
      </c>
      <c r="B34" s="60" t="s">
        <v>25</v>
      </c>
      <c r="C34" s="37">
        <f t="shared" si="0"/>
        <v>94.2</v>
      </c>
      <c r="D34" s="37">
        <v>3</v>
      </c>
      <c r="E34" s="61">
        <v>7</v>
      </c>
      <c r="F34" s="37">
        <v>84.2</v>
      </c>
      <c r="G34" s="62"/>
      <c r="H34" s="63"/>
      <c r="I34" s="63"/>
      <c r="J34" s="63"/>
      <c r="K34" s="63"/>
      <c r="L34" s="63"/>
    </row>
    <row r="35" spans="1:12" ht="12.6" customHeight="1" x14ac:dyDescent="0.2">
      <c r="A35" s="59">
        <v>26</v>
      </c>
      <c r="B35" s="66" t="s">
        <v>26</v>
      </c>
      <c r="C35" s="37">
        <f t="shared" si="0"/>
        <v>18.8</v>
      </c>
      <c r="D35" s="37">
        <v>17.600000000000001</v>
      </c>
      <c r="E35" s="61">
        <f>0.8+0.4</f>
        <v>1.2000000000000002</v>
      </c>
      <c r="F35" s="37"/>
      <c r="G35" s="62"/>
      <c r="H35" s="63"/>
      <c r="I35" s="63"/>
      <c r="J35" s="63"/>
      <c r="K35" s="63"/>
      <c r="L35" s="63"/>
    </row>
    <row r="36" spans="1:12" ht="12.6" customHeight="1" x14ac:dyDescent="0.2">
      <c r="A36" s="59">
        <v>27</v>
      </c>
      <c r="B36" s="60" t="s">
        <v>27</v>
      </c>
      <c r="C36" s="37">
        <f t="shared" si="0"/>
        <v>155</v>
      </c>
      <c r="D36" s="37">
        <f>30-7</f>
        <v>23</v>
      </c>
      <c r="E36" s="61">
        <f>90+7</f>
        <v>97</v>
      </c>
      <c r="F36" s="37">
        <f>30+5</f>
        <v>35</v>
      </c>
      <c r="G36" s="62"/>
      <c r="H36" s="63"/>
      <c r="I36" s="63"/>
      <c r="J36" s="63"/>
      <c r="K36" s="63"/>
      <c r="L36" s="63"/>
    </row>
    <row r="37" spans="1:12" ht="12.6" customHeight="1" x14ac:dyDescent="0.2">
      <c r="A37" s="59">
        <v>28</v>
      </c>
      <c r="B37" s="66" t="s">
        <v>28</v>
      </c>
      <c r="C37" s="37">
        <f t="shared" si="0"/>
        <v>10.5</v>
      </c>
      <c r="D37" s="37">
        <f>12-4.5</f>
        <v>7.5</v>
      </c>
      <c r="E37" s="61">
        <f>7-4</f>
        <v>3</v>
      </c>
      <c r="F37" s="37"/>
      <c r="G37" s="62"/>
      <c r="H37" s="63"/>
      <c r="I37" s="63"/>
      <c r="J37" s="63"/>
      <c r="K37" s="63"/>
      <c r="L37" s="63"/>
    </row>
    <row r="38" spans="1:12" ht="12.6" customHeight="1" x14ac:dyDescent="0.2">
      <c r="A38" s="59">
        <v>29</v>
      </c>
      <c r="B38" s="67" t="s">
        <v>29</v>
      </c>
      <c r="C38" s="37">
        <f t="shared" si="0"/>
        <v>8.1999999999999993</v>
      </c>
      <c r="D38" s="37">
        <f>0.8+2.6</f>
        <v>3.4000000000000004</v>
      </c>
      <c r="E38" s="61">
        <f>2.4+1.6+0.8</f>
        <v>4.8</v>
      </c>
      <c r="F38" s="37"/>
      <c r="G38" s="62"/>
      <c r="H38" s="63"/>
      <c r="I38" s="63"/>
      <c r="J38" s="63"/>
      <c r="K38" s="63"/>
      <c r="L38" s="63"/>
    </row>
    <row r="39" spans="1:12" ht="12.6" customHeight="1" x14ac:dyDescent="0.2">
      <c r="A39" s="59">
        <v>30</v>
      </c>
      <c r="B39" s="66" t="s">
        <v>30</v>
      </c>
      <c r="C39" s="37">
        <f t="shared" si="0"/>
        <v>2.5</v>
      </c>
      <c r="D39" s="37">
        <v>1</v>
      </c>
      <c r="E39" s="61">
        <v>1.5</v>
      </c>
      <c r="F39" s="37"/>
      <c r="G39" s="62"/>
      <c r="H39" s="63"/>
      <c r="I39" s="63"/>
      <c r="J39" s="63"/>
      <c r="K39" s="63"/>
      <c r="L39" s="63"/>
    </row>
    <row r="40" spans="1:12" ht="12.6" customHeight="1" x14ac:dyDescent="0.2">
      <c r="A40" s="59">
        <v>31</v>
      </c>
      <c r="B40" s="66" t="s">
        <v>31</v>
      </c>
      <c r="C40" s="37">
        <f t="shared" si="0"/>
        <v>4.5</v>
      </c>
      <c r="D40" s="37">
        <f>6-2.4</f>
        <v>3.6</v>
      </c>
      <c r="E40" s="61">
        <f>2-1.1</f>
        <v>0.89999999999999991</v>
      </c>
      <c r="F40" s="37"/>
      <c r="G40" s="62"/>
      <c r="H40" s="63"/>
      <c r="I40" s="63"/>
      <c r="J40" s="63"/>
      <c r="K40" s="63"/>
      <c r="L40" s="63"/>
    </row>
    <row r="41" spans="1:12" ht="12.6" customHeight="1" x14ac:dyDescent="0.2">
      <c r="A41" s="59">
        <v>32</v>
      </c>
      <c r="B41" s="66" t="s">
        <v>32</v>
      </c>
      <c r="C41" s="37">
        <f t="shared" si="0"/>
        <v>0.6</v>
      </c>
      <c r="D41" s="37">
        <v>0.5</v>
      </c>
      <c r="E41" s="61">
        <v>0.1</v>
      </c>
      <c r="F41" s="37"/>
      <c r="G41" s="62"/>
      <c r="H41" s="63"/>
      <c r="I41" s="63"/>
      <c r="J41" s="63"/>
      <c r="K41" s="63"/>
      <c r="L41" s="63"/>
    </row>
    <row r="42" spans="1:12" x14ac:dyDescent="0.2">
      <c r="A42" s="59">
        <v>33</v>
      </c>
      <c r="B42" s="66" t="s">
        <v>33</v>
      </c>
      <c r="C42" s="37">
        <f t="shared" si="0"/>
        <v>0.6</v>
      </c>
      <c r="D42" s="37">
        <v>0.3</v>
      </c>
      <c r="E42" s="61">
        <v>0.3</v>
      </c>
      <c r="F42" s="37"/>
      <c r="G42" s="62"/>
      <c r="H42" s="63"/>
      <c r="I42" s="63"/>
      <c r="J42" s="63"/>
      <c r="K42" s="63"/>
      <c r="L42" s="63"/>
    </row>
    <row r="43" spans="1:12" ht="25.5" x14ac:dyDescent="0.2">
      <c r="A43" s="59">
        <v>34</v>
      </c>
      <c r="B43" s="65" t="s">
        <v>34</v>
      </c>
      <c r="C43" s="37">
        <f t="shared" si="0"/>
        <v>9.1</v>
      </c>
      <c r="D43" s="37">
        <v>1.1000000000000001</v>
      </c>
      <c r="E43" s="61">
        <f>6+2</f>
        <v>8</v>
      </c>
      <c r="F43" s="37"/>
      <c r="G43" s="62"/>
      <c r="H43" s="63"/>
      <c r="I43" s="63"/>
      <c r="J43" s="63"/>
      <c r="K43" s="63"/>
      <c r="L43" s="63"/>
    </row>
    <row r="44" spans="1:12" ht="12.6" customHeight="1" x14ac:dyDescent="0.2">
      <c r="A44" s="59">
        <v>35</v>
      </c>
      <c r="B44" s="66" t="s">
        <v>35</v>
      </c>
      <c r="C44" s="37">
        <f t="shared" si="0"/>
        <v>45.2</v>
      </c>
      <c r="D44" s="37">
        <v>44.7</v>
      </c>
      <c r="E44" s="61">
        <v>0.5</v>
      </c>
      <c r="F44" s="37"/>
      <c r="G44" s="62"/>
      <c r="H44" s="63"/>
      <c r="I44" s="63"/>
      <c r="J44" s="63"/>
      <c r="K44" s="63"/>
      <c r="L44" s="63"/>
    </row>
    <row r="45" spans="1:12" ht="12.6" customHeight="1" x14ac:dyDescent="0.2">
      <c r="A45" s="59">
        <v>36</v>
      </c>
      <c r="B45" s="16" t="s">
        <v>36</v>
      </c>
      <c r="C45" s="37">
        <f t="shared" si="0"/>
        <v>1</v>
      </c>
      <c r="D45" s="37">
        <v>1</v>
      </c>
      <c r="E45" s="61"/>
      <c r="F45" s="37"/>
      <c r="G45" s="62"/>
      <c r="H45" s="63"/>
      <c r="I45" s="63"/>
      <c r="J45" s="63"/>
      <c r="K45" s="63"/>
      <c r="L45" s="63"/>
    </row>
    <row r="46" spans="1:12" ht="12.6" customHeight="1" x14ac:dyDescent="0.2">
      <c r="A46" s="59">
        <v>37</v>
      </c>
      <c r="B46" s="26" t="s">
        <v>37</v>
      </c>
      <c r="C46" s="37">
        <f t="shared" si="0"/>
        <v>144</v>
      </c>
      <c r="D46" s="37">
        <v>144</v>
      </c>
      <c r="E46" s="61"/>
      <c r="F46" s="37"/>
      <c r="G46" s="62"/>
      <c r="H46" s="63"/>
      <c r="I46" s="63"/>
      <c r="J46" s="63"/>
      <c r="K46" s="63"/>
      <c r="L46" s="63"/>
    </row>
    <row r="47" spans="1:12" ht="12.6" customHeight="1" x14ac:dyDescent="0.2">
      <c r="A47" s="59">
        <v>38</v>
      </c>
      <c r="B47" s="66" t="s">
        <v>38</v>
      </c>
      <c r="C47" s="37">
        <f t="shared" si="0"/>
        <v>530</v>
      </c>
      <c r="D47" s="37"/>
      <c r="E47" s="61"/>
      <c r="F47" s="37">
        <f>480+50</f>
        <v>530</v>
      </c>
      <c r="G47" s="62"/>
      <c r="H47" s="63"/>
      <c r="I47" s="63"/>
      <c r="J47" s="63"/>
      <c r="K47" s="63"/>
      <c r="L47" s="63"/>
    </row>
    <row r="48" spans="1:12" ht="12.6" customHeight="1" x14ac:dyDescent="0.2">
      <c r="A48" s="59">
        <v>39</v>
      </c>
      <c r="B48" s="66" t="s">
        <v>39</v>
      </c>
      <c r="C48" s="37">
        <f t="shared" si="0"/>
        <v>385.3</v>
      </c>
      <c r="D48" s="37"/>
      <c r="E48" s="61"/>
      <c r="F48" s="37">
        <f>295.3+90</f>
        <v>385.3</v>
      </c>
      <c r="G48" s="62"/>
      <c r="H48" s="63"/>
      <c r="I48" s="63"/>
      <c r="J48" s="63"/>
      <c r="K48" s="63"/>
      <c r="L48" s="63"/>
    </row>
    <row r="49" spans="1:12" ht="12.6" customHeight="1" x14ac:dyDescent="0.2">
      <c r="A49" s="59">
        <v>40</v>
      </c>
      <c r="B49" s="66" t="s">
        <v>40</v>
      </c>
      <c r="C49" s="37">
        <f t="shared" si="0"/>
        <v>431</v>
      </c>
      <c r="D49" s="37"/>
      <c r="E49" s="61"/>
      <c r="F49" s="37">
        <f>411+20</f>
        <v>431</v>
      </c>
      <c r="G49" s="62"/>
      <c r="H49" s="63"/>
      <c r="I49" s="63"/>
      <c r="J49" s="63"/>
      <c r="K49" s="63"/>
      <c r="L49" s="63"/>
    </row>
    <row r="50" spans="1:12" ht="12.6" customHeight="1" x14ac:dyDescent="0.2">
      <c r="A50" s="59">
        <v>41</v>
      </c>
      <c r="B50" s="68" t="s">
        <v>41</v>
      </c>
      <c r="C50" s="37">
        <f t="shared" si="0"/>
        <v>2</v>
      </c>
      <c r="D50" s="37"/>
      <c r="E50" s="61"/>
      <c r="F50" s="37">
        <f>7.5-5.5</f>
        <v>2</v>
      </c>
      <c r="G50" s="62"/>
      <c r="H50" s="63"/>
      <c r="I50" s="63"/>
      <c r="J50" s="63"/>
      <c r="K50" s="63"/>
      <c r="L50" s="63"/>
    </row>
    <row r="51" spans="1:12" ht="12.6" customHeight="1" x14ac:dyDescent="0.2">
      <c r="A51" s="59">
        <v>42</v>
      </c>
      <c r="B51" s="65" t="s">
        <v>42</v>
      </c>
      <c r="C51" s="37">
        <f t="shared" si="0"/>
        <v>7</v>
      </c>
      <c r="D51" s="37">
        <v>7</v>
      </c>
      <c r="E51" s="61"/>
      <c r="F51" s="37"/>
      <c r="G51" s="62"/>
      <c r="H51" s="63"/>
      <c r="I51" s="63"/>
      <c r="J51" s="63"/>
      <c r="K51" s="63"/>
      <c r="L51" s="63"/>
    </row>
    <row r="52" spans="1:12" x14ac:dyDescent="0.2">
      <c r="A52" s="59">
        <v>43</v>
      </c>
      <c r="B52" s="24" t="s">
        <v>43</v>
      </c>
      <c r="C52" s="37">
        <f t="shared" si="0"/>
        <v>125.7</v>
      </c>
      <c r="D52" s="37"/>
      <c r="E52" s="61">
        <v>15.7</v>
      </c>
      <c r="F52" s="37"/>
      <c r="G52" s="62">
        <v>110</v>
      </c>
      <c r="H52" s="63"/>
      <c r="I52" s="63"/>
      <c r="J52" s="63"/>
      <c r="K52" s="63"/>
      <c r="L52" s="63"/>
    </row>
    <row r="53" spans="1:12" ht="25.5" x14ac:dyDescent="0.2">
      <c r="A53" s="59">
        <v>44</v>
      </c>
      <c r="B53" s="65" t="s">
        <v>44</v>
      </c>
      <c r="C53" s="37">
        <f t="shared" si="0"/>
        <v>19.900000000000002</v>
      </c>
      <c r="D53" s="37">
        <v>0.3</v>
      </c>
      <c r="E53" s="61">
        <v>19.600000000000001</v>
      </c>
      <c r="F53" s="37"/>
      <c r="G53" s="62"/>
      <c r="H53" s="63"/>
      <c r="I53" s="63"/>
      <c r="J53" s="63"/>
      <c r="K53" s="63"/>
      <c r="L53" s="63"/>
    </row>
    <row r="54" spans="1:12" ht="12.6" customHeight="1" x14ac:dyDescent="0.2">
      <c r="A54" s="59">
        <v>45</v>
      </c>
      <c r="B54" s="65" t="s">
        <v>45</v>
      </c>
      <c r="C54" s="37">
        <f t="shared" si="0"/>
        <v>3.8</v>
      </c>
      <c r="D54" s="37"/>
      <c r="E54" s="61">
        <v>3.8</v>
      </c>
      <c r="F54" s="37"/>
      <c r="G54" s="62"/>
      <c r="H54" s="63"/>
      <c r="I54" s="63"/>
      <c r="J54" s="63"/>
      <c r="K54" s="63"/>
      <c r="L54" s="63"/>
    </row>
    <row r="55" spans="1:12" ht="12.6" customHeight="1" x14ac:dyDescent="0.2">
      <c r="A55" s="59">
        <v>46</v>
      </c>
      <c r="B55" s="65" t="s">
        <v>46</v>
      </c>
      <c r="C55" s="37">
        <f t="shared" si="0"/>
        <v>6</v>
      </c>
      <c r="D55" s="37">
        <v>1.7</v>
      </c>
      <c r="E55" s="61">
        <v>4.3</v>
      </c>
      <c r="F55" s="37"/>
      <c r="G55" s="62"/>
      <c r="H55" s="63"/>
      <c r="I55" s="63"/>
      <c r="J55" s="63"/>
      <c r="K55" s="63"/>
      <c r="L55" s="63"/>
    </row>
    <row r="56" spans="1:12" ht="12.6" customHeight="1" x14ac:dyDescent="0.2">
      <c r="A56" s="59">
        <v>47</v>
      </c>
      <c r="B56" s="65" t="s">
        <v>47</v>
      </c>
      <c r="C56" s="37">
        <f t="shared" si="0"/>
        <v>3.8000000000000003</v>
      </c>
      <c r="D56" s="37">
        <v>3.2</v>
      </c>
      <c r="E56" s="61">
        <v>0.6</v>
      </c>
      <c r="F56" s="37"/>
      <c r="G56" s="62"/>
      <c r="H56" s="63"/>
      <c r="I56" s="63"/>
      <c r="J56" s="63"/>
      <c r="K56" s="63"/>
      <c r="L56" s="63"/>
    </row>
    <row r="57" spans="1:12" ht="12.6" customHeight="1" x14ac:dyDescent="0.2">
      <c r="A57" s="59">
        <v>48</v>
      </c>
      <c r="B57" s="65" t="s">
        <v>48</v>
      </c>
      <c r="C57" s="37">
        <f t="shared" si="0"/>
        <v>1.6</v>
      </c>
      <c r="D57" s="37">
        <v>0.6</v>
      </c>
      <c r="E57" s="61">
        <v>1</v>
      </c>
      <c r="F57" s="37"/>
      <c r="G57" s="62"/>
      <c r="H57" s="63"/>
      <c r="I57" s="63"/>
      <c r="J57" s="63"/>
      <c r="K57" s="63"/>
      <c r="L57" s="63"/>
    </row>
    <row r="58" spans="1:12" ht="12.6" customHeight="1" x14ac:dyDescent="0.2">
      <c r="A58" s="59">
        <v>49</v>
      </c>
      <c r="B58" s="65" t="s">
        <v>49</v>
      </c>
      <c r="C58" s="37">
        <f t="shared" si="0"/>
        <v>25.7</v>
      </c>
      <c r="D58" s="37"/>
      <c r="E58" s="61">
        <f>11+14.7</f>
        <v>25.7</v>
      </c>
      <c r="F58" s="37"/>
      <c r="G58" s="62"/>
      <c r="H58" s="63"/>
      <c r="I58" s="63"/>
      <c r="J58" s="63"/>
      <c r="K58" s="63"/>
      <c r="L58" s="63"/>
    </row>
    <row r="59" spans="1:12" ht="12.6" customHeight="1" x14ac:dyDescent="0.2">
      <c r="A59" s="59">
        <v>50</v>
      </c>
      <c r="B59" s="26" t="s">
        <v>50</v>
      </c>
      <c r="C59" s="37">
        <f t="shared" si="0"/>
        <v>6.8</v>
      </c>
      <c r="D59" s="37">
        <v>2.2000000000000002</v>
      </c>
      <c r="E59" s="61">
        <v>4.5999999999999996</v>
      </c>
      <c r="F59" s="37"/>
      <c r="G59" s="62"/>
      <c r="H59" s="63"/>
      <c r="I59" s="63"/>
      <c r="J59" s="63"/>
      <c r="K59" s="63"/>
      <c r="L59" s="63"/>
    </row>
    <row r="60" spans="1:12" ht="12.6" customHeight="1" x14ac:dyDescent="0.2">
      <c r="A60" s="59">
        <v>51</v>
      </c>
      <c r="B60" s="65" t="s">
        <v>51</v>
      </c>
      <c r="C60" s="37">
        <f t="shared" si="0"/>
        <v>2.2000000000000002</v>
      </c>
      <c r="D60" s="37">
        <v>0.1</v>
      </c>
      <c r="E60" s="61">
        <v>2.1</v>
      </c>
      <c r="F60" s="37"/>
      <c r="G60" s="62"/>
      <c r="H60" s="63"/>
      <c r="I60" s="63"/>
      <c r="J60" s="63"/>
      <c r="K60" s="63"/>
      <c r="L60" s="63"/>
    </row>
    <row r="61" spans="1:12" ht="12.6" customHeight="1" x14ac:dyDescent="0.2">
      <c r="A61" s="59">
        <v>52</v>
      </c>
      <c r="B61" s="65" t="s">
        <v>52</v>
      </c>
      <c r="C61" s="37">
        <f t="shared" si="0"/>
        <v>6</v>
      </c>
      <c r="D61" s="37">
        <v>4</v>
      </c>
      <c r="E61" s="61">
        <v>2</v>
      </c>
      <c r="F61" s="37"/>
      <c r="G61" s="62"/>
      <c r="H61" s="63"/>
      <c r="I61" s="63"/>
      <c r="J61" s="63"/>
      <c r="K61" s="63"/>
      <c r="L61" s="63"/>
    </row>
    <row r="62" spans="1:12" ht="12.6" customHeight="1" x14ac:dyDescent="0.2">
      <c r="A62" s="59">
        <v>53</v>
      </c>
      <c r="B62" s="65" t="s">
        <v>53</v>
      </c>
      <c r="C62" s="37">
        <f t="shared" si="0"/>
        <v>2</v>
      </c>
      <c r="D62" s="37">
        <v>1</v>
      </c>
      <c r="E62" s="61">
        <v>1</v>
      </c>
      <c r="F62" s="37"/>
      <c r="G62" s="62"/>
      <c r="H62" s="63"/>
      <c r="I62" s="63"/>
      <c r="J62" s="63"/>
      <c r="K62" s="63"/>
      <c r="L62" s="63"/>
    </row>
    <row r="63" spans="1:12" ht="12.6" customHeight="1" x14ac:dyDescent="0.2">
      <c r="A63" s="59">
        <v>54</v>
      </c>
      <c r="B63" s="65" t="s">
        <v>54</v>
      </c>
      <c r="C63" s="37">
        <f t="shared" si="0"/>
        <v>4</v>
      </c>
      <c r="D63" s="37"/>
      <c r="E63" s="61">
        <v>4</v>
      </c>
      <c r="F63" s="37"/>
      <c r="G63" s="62"/>
      <c r="H63" s="63"/>
      <c r="I63" s="63"/>
      <c r="J63" s="63"/>
      <c r="K63" s="63"/>
      <c r="L63" s="63"/>
    </row>
    <row r="64" spans="1:12" x14ac:dyDescent="0.2">
      <c r="A64" s="59">
        <v>55</v>
      </c>
      <c r="B64" s="69" t="s">
        <v>235</v>
      </c>
      <c r="C64" s="70">
        <f>+E64+D64+F64+G64</f>
        <v>3181.8</v>
      </c>
      <c r="D64" s="70">
        <f t="shared" ref="D64:G64" si="1">SUM(D10:D63)</f>
        <v>423.60000000000008</v>
      </c>
      <c r="E64" s="70">
        <f t="shared" si="1"/>
        <v>253.9</v>
      </c>
      <c r="F64" s="70">
        <f t="shared" si="1"/>
        <v>2394.3000000000002</v>
      </c>
      <c r="G64" s="70">
        <f t="shared" si="1"/>
        <v>110</v>
      </c>
      <c r="H64" s="63"/>
      <c r="I64" s="63"/>
      <c r="J64" s="63"/>
      <c r="K64" s="63"/>
      <c r="L64" s="63"/>
    </row>
    <row r="65" spans="1:7" x14ac:dyDescent="0.2">
      <c r="E65" s="71"/>
    </row>
    <row r="66" spans="1:7" x14ac:dyDescent="0.2">
      <c r="A66" s="78" t="s">
        <v>236</v>
      </c>
      <c r="B66" s="78"/>
      <c r="C66" s="78"/>
      <c r="D66" s="78"/>
      <c r="E66" s="78"/>
      <c r="F66" s="78"/>
    </row>
    <row r="67" spans="1:7" x14ac:dyDescent="0.2">
      <c r="C67" s="63"/>
      <c r="D67" s="63"/>
      <c r="E67" s="71"/>
      <c r="F67" s="63"/>
    </row>
    <row r="68" spans="1:7" x14ac:dyDescent="0.2">
      <c r="C68" s="73"/>
      <c r="D68" s="63"/>
      <c r="E68" s="63"/>
      <c r="F68" s="63"/>
      <c r="G68" s="63"/>
    </row>
    <row r="69" spans="1:7" x14ac:dyDescent="0.2">
      <c r="C69" s="73"/>
      <c r="D69" s="63"/>
      <c r="E69" s="63"/>
      <c r="F69" s="63"/>
      <c r="G69" s="63"/>
    </row>
    <row r="70" spans="1:7" x14ac:dyDescent="0.2">
      <c r="C70" s="63"/>
      <c r="D70" s="63"/>
      <c r="E70" s="63"/>
      <c r="F70" s="63"/>
    </row>
    <row r="74" spans="1:7" x14ac:dyDescent="0.2">
      <c r="B74" s="72"/>
    </row>
  </sheetData>
  <mergeCells count="9">
    <mergeCell ref="A66:F66"/>
    <mergeCell ref="B1:G1"/>
    <mergeCell ref="B2:G2"/>
    <mergeCell ref="E3:G3"/>
    <mergeCell ref="A5:G5"/>
    <mergeCell ref="A7:A8"/>
    <mergeCell ref="B7:B8"/>
    <mergeCell ref="C7:C8"/>
    <mergeCell ref="D7:G7"/>
  </mergeCells>
  <pageMargins left="0.70866141732283472" right="0.70866141732283472" top="0.74803149606299213" bottom="0.35433070866141736" header="0.31496062992125984" footer="0.31496062992125984"/>
  <pageSetup paperSize="9" scale="82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0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14" sqref="E14"/>
    </sheetView>
  </sheetViews>
  <sheetFormatPr defaultRowHeight="12.75" x14ac:dyDescent="0.2"/>
  <cols>
    <col min="1" max="1" width="4.42578125" style="1" customWidth="1"/>
    <col min="2" max="2" width="35.42578125" style="1" customWidth="1"/>
    <col min="3" max="3" width="10.7109375" style="1" customWidth="1"/>
    <col min="4" max="4" width="12.85546875" style="1" customWidth="1"/>
    <col min="5" max="5" width="10.5703125" style="1" customWidth="1"/>
    <col min="6" max="6" width="11" style="1" customWidth="1"/>
    <col min="7" max="9" width="10.5703125" style="1" customWidth="1"/>
    <col min="10" max="10" width="10.140625" style="1" customWidth="1"/>
    <col min="11" max="11" width="10.5703125" style="1" customWidth="1"/>
    <col min="12" max="16384" width="9.140625" style="1"/>
  </cols>
  <sheetData>
    <row r="1" spans="1:11" ht="15.75" x14ac:dyDescent="0.2">
      <c r="G1" s="96" t="s">
        <v>225</v>
      </c>
      <c r="H1" s="96"/>
      <c r="I1" s="96"/>
      <c r="J1" s="96"/>
      <c r="K1" s="96"/>
    </row>
    <row r="2" spans="1:11" ht="15.75" x14ac:dyDescent="0.2">
      <c r="G2" s="96" t="s">
        <v>239</v>
      </c>
      <c r="H2" s="96"/>
      <c r="I2" s="96"/>
      <c r="J2" s="96"/>
      <c r="K2" s="96"/>
    </row>
    <row r="3" spans="1:11" ht="15.75" x14ac:dyDescent="0.2">
      <c r="H3" s="97" t="s">
        <v>75</v>
      </c>
      <c r="I3" s="97"/>
      <c r="J3" s="97"/>
      <c r="K3" s="97"/>
    </row>
    <row r="4" spans="1:11" ht="15.75" customHeight="1" x14ac:dyDescent="0.2">
      <c r="A4" s="98" t="s">
        <v>70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x14ac:dyDescent="0.2">
      <c r="K5" s="2" t="s">
        <v>74</v>
      </c>
    </row>
    <row r="6" spans="1:11" s="4" customFormat="1" ht="14.25" customHeight="1" x14ac:dyDescent="0.25">
      <c r="A6" s="99" t="s">
        <v>170</v>
      </c>
      <c r="B6" s="100" t="s">
        <v>56</v>
      </c>
      <c r="C6" s="100" t="s">
        <v>71</v>
      </c>
      <c r="D6" s="101" t="s">
        <v>0</v>
      </c>
      <c r="E6" s="101"/>
      <c r="F6" s="101"/>
      <c r="G6" s="101"/>
      <c r="H6" s="101"/>
      <c r="I6" s="101"/>
      <c r="J6" s="101"/>
      <c r="K6" s="101"/>
    </row>
    <row r="7" spans="1:11" s="4" customFormat="1" ht="17.25" customHeight="1" x14ac:dyDescent="0.25">
      <c r="A7" s="99"/>
      <c r="B7" s="100"/>
      <c r="C7" s="100"/>
      <c r="D7" s="100" t="s">
        <v>68</v>
      </c>
      <c r="E7" s="100" t="s">
        <v>69</v>
      </c>
      <c r="F7" s="101" t="s">
        <v>72</v>
      </c>
      <c r="G7" s="101"/>
      <c r="H7" s="101"/>
      <c r="I7" s="101"/>
      <c r="J7" s="101"/>
      <c r="K7" s="101"/>
    </row>
    <row r="8" spans="1:11" s="4" customFormat="1" ht="89.25" x14ac:dyDescent="0.25">
      <c r="A8" s="99"/>
      <c r="B8" s="100"/>
      <c r="C8" s="100"/>
      <c r="D8" s="100"/>
      <c r="E8" s="100"/>
      <c r="F8" s="3" t="s">
        <v>62</v>
      </c>
      <c r="G8" s="3" t="s">
        <v>63</v>
      </c>
      <c r="H8" s="3" t="s">
        <v>64</v>
      </c>
      <c r="I8" s="3" t="s">
        <v>65</v>
      </c>
      <c r="J8" s="3" t="s">
        <v>66</v>
      </c>
      <c r="K8" s="3" t="s">
        <v>67</v>
      </c>
    </row>
    <row r="9" spans="1:11" s="4" customFormat="1" x14ac:dyDescent="0.25">
      <c r="A9" s="5" t="s">
        <v>73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</row>
    <row r="10" spans="1:11" ht="13.5" customHeight="1" x14ac:dyDescent="0.2">
      <c r="A10" s="7">
        <v>1</v>
      </c>
      <c r="B10" s="8" t="s">
        <v>1</v>
      </c>
      <c r="C10" s="9">
        <f>+C11</f>
        <v>1101.6999999999998</v>
      </c>
      <c r="D10" s="10">
        <f t="shared" ref="D10:K10" si="0">+D11</f>
        <v>0</v>
      </c>
      <c r="E10" s="10">
        <f t="shared" si="0"/>
        <v>478.5</v>
      </c>
      <c r="F10" s="10">
        <f t="shared" si="0"/>
        <v>537.79999999999995</v>
      </c>
      <c r="G10" s="10">
        <f t="shared" si="0"/>
        <v>16</v>
      </c>
      <c r="H10" s="10">
        <f t="shared" si="0"/>
        <v>7.6</v>
      </c>
      <c r="I10" s="10">
        <f t="shared" si="0"/>
        <v>1.7</v>
      </c>
      <c r="J10" s="10">
        <f t="shared" si="0"/>
        <v>0</v>
      </c>
      <c r="K10" s="10">
        <f t="shared" si="0"/>
        <v>60.099999999999994</v>
      </c>
    </row>
    <row r="11" spans="1:11" ht="13.5" customHeight="1" x14ac:dyDescent="0.2">
      <c r="A11" s="11" t="s">
        <v>77</v>
      </c>
      <c r="B11" s="12" t="s">
        <v>57</v>
      </c>
      <c r="C11" s="9">
        <f>+D11+E11+F11+G11+H11+J11+K11+I11</f>
        <v>1101.6999999999998</v>
      </c>
      <c r="D11" s="10"/>
      <c r="E11" s="10">
        <f>443.5+35</f>
        <v>478.5</v>
      </c>
      <c r="F11" s="10">
        <v>537.79999999999995</v>
      </c>
      <c r="G11" s="10">
        <f>4.2+11.8</f>
        <v>16</v>
      </c>
      <c r="H11" s="10">
        <v>7.6</v>
      </c>
      <c r="I11" s="10">
        <v>1.7</v>
      </c>
      <c r="J11" s="10"/>
      <c r="K11" s="10">
        <f>72.1-12</f>
        <v>60.099999999999994</v>
      </c>
    </row>
    <row r="12" spans="1:11" ht="13.5" customHeight="1" x14ac:dyDescent="0.2">
      <c r="A12" s="7">
        <v>2</v>
      </c>
      <c r="B12" s="8" t="s">
        <v>2</v>
      </c>
      <c r="C12" s="9">
        <f>+C13</f>
        <v>1170.3</v>
      </c>
      <c r="D12" s="10">
        <f t="shared" ref="D12:H12" si="1">+D13</f>
        <v>0</v>
      </c>
      <c r="E12" s="10">
        <f t="shared" si="1"/>
        <v>540</v>
      </c>
      <c r="F12" s="10">
        <f t="shared" si="1"/>
        <v>538.29999999999995</v>
      </c>
      <c r="G12" s="10">
        <f t="shared" si="1"/>
        <v>24.8</v>
      </c>
      <c r="H12" s="10">
        <f t="shared" si="1"/>
        <v>0</v>
      </c>
      <c r="I12" s="10"/>
      <c r="J12" s="10">
        <f t="shared" ref="J12:K12" si="2">+J13</f>
        <v>0</v>
      </c>
      <c r="K12" s="10">
        <f t="shared" si="2"/>
        <v>67.2</v>
      </c>
    </row>
    <row r="13" spans="1:11" ht="13.5" customHeight="1" x14ac:dyDescent="0.2">
      <c r="A13" s="11" t="s">
        <v>76</v>
      </c>
      <c r="B13" s="12" t="s">
        <v>57</v>
      </c>
      <c r="C13" s="9">
        <f t="shared" ref="C13:C73" si="3">+D13+E13+F13+G13+H13+J13+K13</f>
        <v>1170.3</v>
      </c>
      <c r="D13" s="10"/>
      <c r="E13" s="10">
        <f>513+27</f>
        <v>540</v>
      </c>
      <c r="F13" s="10">
        <v>538.29999999999995</v>
      </c>
      <c r="G13" s="10">
        <f>8.5+11.8+4.5</f>
        <v>24.8</v>
      </c>
      <c r="H13" s="10"/>
      <c r="I13" s="10"/>
      <c r="J13" s="10"/>
      <c r="K13" s="10">
        <f>87.2-20</f>
        <v>67.2</v>
      </c>
    </row>
    <row r="14" spans="1:11" ht="13.5" customHeight="1" x14ac:dyDescent="0.2">
      <c r="A14" s="7">
        <v>3</v>
      </c>
      <c r="B14" s="8" t="s">
        <v>3</v>
      </c>
      <c r="C14" s="9">
        <f>+C15</f>
        <v>1148.7</v>
      </c>
      <c r="D14" s="10">
        <f t="shared" ref="D14:H14" si="4">+D15</f>
        <v>0</v>
      </c>
      <c r="E14" s="10">
        <f t="shared" si="4"/>
        <v>481.3</v>
      </c>
      <c r="F14" s="10">
        <f t="shared" si="4"/>
        <v>549.20000000000005</v>
      </c>
      <c r="G14" s="10">
        <f t="shared" si="4"/>
        <v>18.5</v>
      </c>
      <c r="H14" s="10">
        <f t="shared" si="4"/>
        <v>0</v>
      </c>
      <c r="I14" s="10"/>
      <c r="J14" s="10">
        <f t="shared" ref="J14:K14" si="5">+J15</f>
        <v>0</v>
      </c>
      <c r="K14" s="10">
        <f t="shared" si="5"/>
        <v>99.7</v>
      </c>
    </row>
    <row r="15" spans="1:11" ht="13.5" customHeight="1" x14ac:dyDescent="0.2">
      <c r="A15" s="11" t="s">
        <v>80</v>
      </c>
      <c r="B15" s="12" t="s">
        <v>57</v>
      </c>
      <c r="C15" s="9">
        <f t="shared" si="3"/>
        <v>1148.7</v>
      </c>
      <c r="D15" s="10"/>
      <c r="E15" s="10">
        <f>481.2+0.1</f>
        <v>481.3</v>
      </c>
      <c r="F15" s="10">
        <v>549.20000000000005</v>
      </c>
      <c r="G15" s="10">
        <f>12.6+5.9</f>
        <v>18.5</v>
      </c>
      <c r="H15" s="10"/>
      <c r="I15" s="10"/>
      <c r="J15" s="10"/>
      <c r="K15" s="10">
        <v>99.7</v>
      </c>
    </row>
    <row r="16" spans="1:11" ht="13.5" customHeight="1" x14ac:dyDescent="0.2">
      <c r="A16" s="7">
        <v>4</v>
      </c>
      <c r="B16" s="8" t="s">
        <v>4</v>
      </c>
      <c r="C16" s="9">
        <f>+C17</f>
        <v>1244</v>
      </c>
      <c r="D16" s="10">
        <f t="shared" ref="D16:H16" si="6">+D17</f>
        <v>0</v>
      </c>
      <c r="E16" s="10">
        <f t="shared" si="6"/>
        <v>583</v>
      </c>
      <c r="F16" s="10">
        <f t="shared" si="6"/>
        <v>560.79999999999995</v>
      </c>
      <c r="G16" s="10">
        <f t="shared" si="6"/>
        <v>12.3</v>
      </c>
      <c r="H16" s="10">
        <f t="shared" si="6"/>
        <v>0</v>
      </c>
      <c r="I16" s="10"/>
      <c r="J16" s="10">
        <f t="shared" ref="J16:K16" si="7">+J17</f>
        <v>0</v>
      </c>
      <c r="K16" s="10">
        <f t="shared" si="7"/>
        <v>87.9</v>
      </c>
    </row>
    <row r="17" spans="1:11" ht="13.5" customHeight="1" x14ac:dyDescent="0.2">
      <c r="A17" s="11" t="s">
        <v>82</v>
      </c>
      <c r="B17" s="12" t="s">
        <v>57</v>
      </c>
      <c r="C17" s="9">
        <f t="shared" si="3"/>
        <v>1244</v>
      </c>
      <c r="D17" s="10"/>
      <c r="E17" s="10">
        <f>547.2+35.8</f>
        <v>583</v>
      </c>
      <c r="F17" s="10">
        <v>560.79999999999995</v>
      </c>
      <c r="G17" s="10">
        <v>12.3</v>
      </c>
      <c r="H17" s="10"/>
      <c r="I17" s="10"/>
      <c r="J17" s="10"/>
      <c r="K17" s="10">
        <v>87.9</v>
      </c>
    </row>
    <row r="18" spans="1:11" ht="13.5" customHeight="1" x14ac:dyDescent="0.2">
      <c r="A18" s="7">
        <v>5</v>
      </c>
      <c r="B18" s="8" t="s">
        <v>5</v>
      </c>
      <c r="C18" s="9">
        <f>+C19</f>
        <v>1282.5999999999999</v>
      </c>
      <c r="D18" s="10">
        <f t="shared" ref="D18:H18" si="8">+D19</f>
        <v>0</v>
      </c>
      <c r="E18" s="10">
        <f t="shared" si="8"/>
        <v>586.29999999999995</v>
      </c>
      <c r="F18" s="10">
        <f t="shared" si="8"/>
        <v>583.5</v>
      </c>
      <c r="G18" s="10">
        <f t="shared" si="8"/>
        <v>14.6</v>
      </c>
      <c r="H18" s="10">
        <f t="shared" si="8"/>
        <v>0</v>
      </c>
      <c r="I18" s="10"/>
      <c r="J18" s="10">
        <f t="shared" ref="J18:K18" si="9">+J19</f>
        <v>0</v>
      </c>
      <c r="K18" s="10">
        <f t="shared" si="9"/>
        <v>98.2</v>
      </c>
    </row>
    <row r="19" spans="1:11" ht="13.5" customHeight="1" x14ac:dyDescent="0.2">
      <c r="A19" s="11" t="s">
        <v>81</v>
      </c>
      <c r="B19" s="12" t="s">
        <v>57</v>
      </c>
      <c r="C19" s="9">
        <f t="shared" si="3"/>
        <v>1282.5999999999999</v>
      </c>
      <c r="D19" s="10"/>
      <c r="E19" s="10">
        <f>571+15.3</f>
        <v>586.29999999999995</v>
      </c>
      <c r="F19" s="10">
        <f>579.9+3.6</f>
        <v>583.5</v>
      </c>
      <c r="G19" s="10">
        <f>12.9+1.7</f>
        <v>14.6</v>
      </c>
      <c r="H19" s="10"/>
      <c r="I19" s="10"/>
      <c r="J19" s="10"/>
      <c r="K19" s="10">
        <v>98.2</v>
      </c>
    </row>
    <row r="20" spans="1:11" ht="13.5" customHeight="1" x14ac:dyDescent="0.2">
      <c r="A20" s="7">
        <v>6</v>
      </c>
      <c r="B20" s="8" t="s">
        <v>6</v>
      </c>
      <c r="C20" s="9">
        <f>+C21</f>
        <v>1310.4000000000001</v>
      </c>
      <c r="D20" s="10">
        <f t="shared" ref="D20:H20" si="10">+D21</f>
        <v>0</v>
      </c>
      <c r="E20" s="10">
        <f t="shared" si="10"/>
        <v>563.20000000000005</v>
      </c>
      <c r="F20" s="10">
        <f t="shared" si="10"/>
        <v>653.29999999999995</v>
      </c>
      <c r="G20" s="10">
        <f t="shared" si="10"/>
        <v>40.9</v>
      </c>
      <c r="H20" s="10">
        <f t="shared" si="10"/>
        <v>0</v>
      </c>
      <c r="I20" s="10"/>
      <c r="J20" s="10">
        <f t="shared" ref="J20:K20" si="11">+J21</f>
        <v>0</v>
      </c>
      <c r="K20" s="10">
        <f t="shared" si="11"/>
        <v>53</v>
      </c>
    </row>
    <row r="21" spans="1:11" ht="13.5" customHeight="1" x14ac:dyDescent="0.2">
      <c r="A21" s="11" t="s">
        <v>83</v>
      </c>
      <c r="B21" s="12" t="s">
        <v>57</v>
      </c>
      <c r="C21" s="9">
        <f t="shared" si="3"/>
        <v>1310.4000000000001</v>
      </c>
      <c r="D21" s="10"/>
      <c r="E21" s="10">
        <f>529+34.2</f>
        <v>563.20000000000005</v>
      </c>
      <c r="F21" s="10">
        <v>653.29999999999995</v>
      </c>
      <c r="G21" s="10">
        <f>12.7+14.3+1.4+12.5</f>
        <v>40.9</v>
      </c>
      <c r="H21" s="10"/>
      <c r="I21" s="10"/>
      <c r="J21" s="10"/>
      <c r="K21" s="10">
        <f>61-8</f>
        <v>53</v>
      </c>
    </row>
    <row r="22" spans="1:11" ht="13.5" customHeight="1" x14ac:dyDescent="0.2">
      <c r="A22" s="7">
        <v>7</v>
      </c>
      <c r="B22" s="8" t="s">
        <v>7</v>
      </c>
      <c r="C22" s="9">
        <f>+C23</f>
        <v>1322.9999999999998</v>
      </c>
      <c r="D22" s="10">
        <f t="shared" ref="D22:H22" si="12">+D23</f>
        <v>0</v>
      </c>
      <c r="E22" s="10">
        <f t="shared" si="12"/>
        <v>564.09999999999991</v>
      </c>
      <c r="F22" s="10">
        <f t="shared" si="12"/>
        <v>616.5</v>
      </c>
      <c r="G22" s="10">
        <f t="shared" si="12"/>
        <v>47.8</v>
      </c>
      <c r="H22" s="10">
        <f t="shared" si="12"/>
        <v>0</v>
      </c>
      <c r="I22" s="10"/>
      <c r="J22" s="10">
        <f t="shared" ref="J22:K22" si="13">+J23</f>
        <v>0</v>
      </c>
      <c r="K22" s="10">
        <f t="shared" si="13"/>
        <v>94.6</v>
      </c>
    </row>
    <row r="23" spans="1:11" ht="13.5" customHeight="1" x14ac:dyDescent="0.2">
      <c r="A23" s="11" t="s">
        <v>78</v>
      </c>
      <c r="B23" s="12" t="s">
        <v>57</v>
      </c>
      <c r="C23" s="9">
        <f t="shared" si="3"/>
        <v>1322.9999999999998</v>
      </c>
      <c r="D23" s="10"/>
      <c r="E23" s="10">
        <f>530.8+33.3</f>
        <v>564.09999999999991</v>
      </c>
      <c r="F23" s="10">
        <f>614+2.5</f>
        <v>616.5</v>
      </c>
      <c r="G23" s="10">
        <f>12.7+12.9+22.2</f>
        <v>47.8</v>
      </c>
      <c r="H23" s="10"/>
      <c r="I23" s="10"/>
      <c r="J23" s="10"/>
      <c r="K23" s="10">
        <f>88.1+6.5</f>
        <v>94.6</v>
      </c>
    </row>
    <row r="24" spans="1:11" ht="25.5" x14ac:dyDescent="0.2">
      <c r="A24" s="7">
        <v>8</v>
      </c>
      <c r="B24" s="13" t="s">
        <v>8</v>
      </c>
      <c r="C24" s="9">
        <f>+C25</f>
        <v>1335.7000000000003</v>
      </c>
      <c r="D24" s="10">
        <f t="shared" ref="D24:H24" si="14">+D25</f>
        <v>0</v>
      </c>
      <c r="E24" s="9">
        <f t="shared" si="14"/>
        <v>698.6</v>
      </c>
      <c r="F24" s="10">
        <f t="shared" si="14"/>
        <v>558.20000000000005</v>
      </c>
      <c r="G24" s="10">
        <f t="shared" si="14"/>
        <v>21</v>
      </c>
      <c r="H24" s="10">
        <f t="shared" si="14"/>
        <v>0</v>
      </c>
      <c r="I24" s="10"/>
      <c r="J24" s="10">
        <f t="shared" ref="J24:K24" si="15">+J25</f>
        <v>0</v>
      </c>
      <c r="K24" s="10">
        <f t="shared" si="15"/>
        <v>57.899999999999991</v>
      </c>
    </row>
    <row r="25" spans="1:11" ht="13.5" customHeight="1" x14ac:dyDescent="0.2">
      <c r="A25" s="11" t="s">
        <v>84</v>
      </c>
      <c r="B25" s="12" t="s">
        <v>57</v>
      </c>
      <c r="C25" s="9">
        <f t="shared" si="3"/>
        <v>1335.7000000000003</v>
      </c>
      <c r="D25" s="10"/>
      <c r="E25" s="9">
        <f>695.9+2.7</f>
        <v>698.6</v>
      </c>
      <c r="F25" s="10">
        <f>551.6+6.6</f>
        <v>558.20000000000005</v>
      </c>
      <c r="G25" s="10">
        <f>4.2+12.3+4.5</f>
        <v>21</v>
      </c>
      <c r="H25" s="10"/>
      <c r="I25" s="10"/>
      <c r="J25" s="10"/>
      <c r="K25" s="10">
        <f>72.1-0.2-14</f>
        <v>57.899999999999991</v>
      </c>
    </row>
    <row r="26" spans="1:11" ht="13.5" customHeight="1" x14ac:dyDescent="0.2">
      <c r="A26" s="7">
        <v>9</v>
      </c>
      <c r="B26" s="8" t="s">
        <v>9</v>
      </c>
      <c r="C26" s="9">
        <f>+C27</f>
        <v>2398</v>
      </c>
      <c r="D26" s="10">
        <f t="shared" ref="D26:H26" si="16">+D27</f>
        <v>0</v>
      </c>
      <c r="E26" s="9">
        <f t="shared" si="16"/>
        <v>1796.2</v>
      </c>
      <c r="F26" s="10">
        <f t="shared" si="16"/>
        <v>546.30000000000007</v>
      </c>
      <c r="G26" s="10">
        <f t="shared" si="16"/>
        <v>20.2</v>
      </c>
      <c r="H26" s="10">
        <f t="shared" si="16"/>
        <v>0</v>
      </c>
      <c r="I26" s="10"/>
      <c r="J26" s="10">
        <f t="shared" ref="J26:K26" si="17">+J27</f>
        <v>0</v>
      </c>
      <c r="K26" s="10">
        <f t="shared" si="17"/>
        <v>35.299999999999997</v>
      </c>
    </row>
    <row r="27" spans="1:11" ht="13.5" customHeight="1" x14ac:dyDescent="0.2">
      <c r="A27" s="11" t="s">
        <v>79</v>
      </c>
      <c r="B27" s="12" t="s">
        <v>57</v>
      </c>
      <c r="C27" s="9">
        <f t="shared" si="3"/>
        <v>2398</v>
      </c>
      <c r="D27" s="10"/>
      <c r="E27" s="9">
        <f>1700.3+95.9</f>
        <v>1796.2</v>
      </c>
      <c r="F27" s="10">
        <f>541.2+5.1</f>
        <v>546.30000000000007</v>
      </c>
      <c r="G27" s="10">
        <f>17.8+2.4</f>
        <v>20.2</v>
      </c>
      <c r="H27" s="10"/>
      <c r="I27" s="10"/>
      <c r="J27" s="10"/>
      <c r="K27" s="10">
        <v>35.299999999999997</v>
      </c>
    </row>
    <row r="28" spans="1:11" ht="13.5" customHeight="1" x14ac:dyDescent="0.2">
      <c r="A28" s="7">
        <v>10</v>
      </c>
      <c r="B28" s="8" t="s">
        <v>10</v>
      </c>
      <c r="C28" s="9">
        <f>+C29</f>
        <v>2461.4</v>
      </c>
      <c r="D28" s="10">
        <f t="shared" ref="D28:H28" si="18">+D29</f>
        <v>0</v>
      </c>
      <c r="E28" s="9">
        <f t="shared" si="18"/>
        <v>1821.3000000000002</v>
      </c>
      <c r="F28" s="10">
        <f t="shared" si="18"/>
        <v>591.1</v>
      </c>
      <c r="G28" s="10">
        <f t="shared" si="18"/>
        <v>29.1</v>
      </c>
      <c r="H28" s="10">
        <f t="shared" si="18"/>
        <v>0</v>
      </c>
      <c r="I28" s="10"/>
      <c r="J28" s="10">
        <f t="shared" ref="J28:K28" si="19">+J29</f>
        <v>0</v>
      </c>
      <c r="K28" s="10">
        <f t="shared" si="19"/>
        <v>19.899999999999999</v>
      </c>
    </row>
    <row r="29" spans="1:11" ht="13.5" customHeight="1" x14ac:dyDescent="0.2">
      <c r="A29" s="11" t="s">
        <v>85</v>
      </c>
      <c r="B29" s="12" t="s">
        <v>57</v>
      </c>
      <c r="C29" s="9">
        <f t="shared" si="3"/>
        <v>2461.4</v>
      </c>
      <c r="D29" s="10"/>
      <c r="E29" s="9">
        <f>1759.9+61.4</f>
        <v>1821.3000000000002</v>
      </c>
      <c r="F29" s="10">
        <f>581.7+9.4</f>
        <v>591.1</v>
      </c>
      <c r="G29" s="10">
        <f>9.3+19.8</f>
        <v>29.1</v>
      </c>
      <c r="H29" s="10"/>
      <c r="I29" s="10"/>
      <c r="J29" s="10"/>
      <c r="K29" s="10">
        <f>22-0.5-0.1-1.5</f>
        <v>19.899999999999999</v>
      </c>
    </row>
    <row r="30" spans="1:11" ht="13.5" customHeight="1" x14ac:dyDescent="0.2">
      <c r="A30" s="7">
        <v>11</v>
      </c>
      <c r="B30" s="13" t="s">
        <v>11</v>
      </c>
      <c r="C30" s="9">
        <f>+C31</f>
        <v>3468.7999999999997</v>
      </c>
      <c r="D30" s="10">
        <f t="shared" ref="D30:H30" si="20">+D31</f>
        <v>0</v>
      </c>
      <c r="E30" s="9">
        <f t="shared" si="20"/>
        <v>2009.3</v>
      </c>
      <c r="F30" s="9">
        <f t="shared" si="20"/>
        <v>1415.4</v>
      </c>
      <c r="G30" s="10">
        <f t="shared" si="20"/>
        <v>8.6999999999999993</v>
      </c>
      <c r="H30" s="10">
        <f t="shared" si="20"/>
        <v>0</v>
      </c>
      <c r="I30" s="10"/>
      <c r="J30" s="10">
        <f t="shared" ref="J30:K30" si="21">+J31</f>
        <v>0</v>
      </c>
      <c r="K30" s="10">
        <f t="shared" si="21"/>
        <v>35.4</v>
      </c>
    </row>
    <row r="31" spans="1:11" ht="13.5" customHeight="1" x14ac:dyDescent="0.2">
      <c r="A31" s="11" t="s">
        <v>86</v>
      </c>
      <c r="B31" s="12" t="s">
        <v>57</v>
      </c>
      <c r="C31" s="9">
        <f t="shared" si="3"/>
        <v>3468.7999999999997</v>
      </c>
      <c r="D31" s="10"/>
      <c r="E31" s="9">
        <f>1904.6+104.7</f>
        <v>2009.3</v>
      </c>
      <c r="F31" s="9">
        <f>1335.4+60+20</f>
        <v>1415.4</v>
      </c>
      <c r="G31" s="10">
        <v>8.6999999999999993</v>
      </c>
      <c r="H31" s="10"/>
      <c r="I31" s="10"/>
      <c r="J31" s="10"/>
      <c r="K31" s="10">
        <f>35.6-0.5+0.3</f>
        <v>35.4</v>
      </c>
    </row>
    <row r="32" spans="1:11" ht="13.5" customHeight="1" x14ac:dyDescent="0.2">
      <c r="A32" s="7">
        <v>12</v>
      </c>
      <c r="B32" s="13" t="s">
        <v>12</v>
      </c>
      <c r="C32" s="9">
        <f>+C33</f>
        <v>1685.8999999999999</v>
      </c>
      <c r="D32" s="10">
        <f t="shared" ref="D32:H32" si="22">+D33</f>
        <v>0</v>
      </c>
      <c r="E32" s="9">
        <f t="shared" si="22"/>
        <v>1180.5999999999999</v>
      </c>
      <c r="F32" s="10">
        <f t="shared" si="22"/>
        <v>491.09999999999997</v>
      </c>
      <c r="G32" s="10">
        <f t="shared" si="22"/>
        <v>1.4</v>
      </c>
      <c r="H32" s="10">
        <f t="shared" si="22"/>
        <v>0</v>
      </c>
      <c r="I32" s="10"/>
      <c r="J32" s="10">
        <f t="shared" ref="J32:K32" si="23">+J33</f>
        <v>0</v>
      </c>
      <c r="K32" s="10">
        <f t="shared" si="23"/>
        <v>12.8</v>
      </c>
    </row>
    <row r="33" spans="1:11" ht="13.5" customHeight="1" x14ac:dyDescent="0.2">
      <c r="A33" s="11" t="s">
        <v>87</v>
      </c>
      <c r="B33" s="12" t="s">
        <v>57</v>
      </c>
      <c r="C33" s="9">
        <f t="shared" si="3"/>
        <v>1685.8999999999999</v>
      </c>
      <c r="D33" s="10"/>
      <c r="E33" s="9">
        <f>1134.6+35.1+10.9</f>
        <v>1180.5999999999999</v>
      </c>
      <c r="F33" s="10">
        <f>482.9+8.2</f>
        <v>491.09999999999997</v>
      </c>
      <c r="G33" s="10">
        <v>1.4</v>
      </c>
      <c r="H33" s="10"/>
      <c r="I33" s="10"/>
      <c r="J33" s="10"/>
      <c r="K33" s="10">
        <v>12.8</v>
      </c>
    </row>
    <row r="34" spans="1:11" ht="25.5" x14ac:dyDescent="0.2">
      <c r="A34" s="7">
        <v>13</v>
      </c>
      <c r="B34" s="13" t="s">
        <v>13</v>
      </c>
      <c r="C34" s="9">
        <f>+C35</f>
        <v>2332.4</v>
      </c>
      <c r="D34" s="10">
        <f t="shared" ref="D34:H34" si="24">+D35</f>
        <v>0</v>
      </c>
      <c r="E34" s="9">
        <f t="shared" si="24"/>
        <v>1239.5</v>
      </c>
      <c r="F34" s="9">
        <f t="shared" si="24"/>
        <v>1060.5</v>
      </c>
      <c r="G34" s="10">
        <f t="shared" si="24"/>
        <v>7.1</v>
      </c>
      <c r="H34" s="10">
        <f t="shared" si="24"/>
        <v>0</v>
      </c>
      <c r="I34" s="10"/>
      <c r="J34" s="10">
        <f t="shared" ref="J34:K34" si="25">+J35</f>
        <v>0</v>
      </c>
      <c r="K34" s="10">
        <f t="shared" si="25"/>
        <v>25.3</v>
      </c>
    </row>
    <row r="35" spans="1:11" ht="13.5" customHeight="1" x14ac:dyDescent="0.2">
      <c r="A35" s="11" t="s">
        <v>88</v>
      </c>
      <c r="B35" s="12" t="s">
        <v>57</v>
      </c>
      <c r="C35" s="9">
        <f t="shared" si="3"/>
        <v>2332.4</v>
      </c>
      <c r="D35" s="10"/>
      <c r="E35" s="9">
        <f>1189.1+50.4</f>
        <v>1239.5</v>
      </c>
      <c r="F35" s="9">
        <f>1050.3+15-4.8</f>
        <v>1060.5</v>
      </c>
      <c r="G35" s="10">
        <f>5.6+1.5</f>
        <v>7.1</v>
      </c>
      <c r="H35" s="10"/>
      <c r="I35" s="10"/>
      <c r="J35" s="10"/>
      <c r="K35" s="10">
        <v>25.3</v>
      </c>
    </row>
    <row r="36" spans="1:11" ht="13.5" customHeight="1" x14ac:dyDescent="0.2">
      <c r="A36" s="7">
        <v>14</v>
      </c>
      <c r="B36" s="8" t="s">
        <v>14</v>
      </c>
      <c r="C36" s="9">
        <f>+C37</f>
        <v>2096.1999999999998</v>
      </c>
      <c r="D36" s="10">
        <f t="shared" ref="D36:H36" si="26">+D37</f>
        <v>0</v>
      </c>
      <c r="E36" s="9">
        <f t="shared" si="26"/>
        <v>1181</v>
      </c>
      <c r="F36" s="9">
        <f t="shared" si="26"/>
        <v>866.1</v>
      </c>
      <c r="G36" s="10">
        <f t="shared" si="26"/>
        <v>7.9</v>
      </c>
      <c r="H36" s="10">
        <f t="shared" si="26"/>
        <v>0</v>
      </c>
      <c r="I36" s="10"/>
      <c r="J36" s="10">
        <f t="shared" ref="J36:K36" si="27">+J37</f>
        <v>0</v>
      </c>
      <c r="K36" s="10">
        <f t="shared" si="27"/>
        <v>41.2</v>
      </c>
    </row>
    <row r="37" spans="1:11" ht="13.5" customHeight="1" x14ac:dyDescent="0.2">
      <c r="A37" s="11" t="s">
        <v>89</v>
      </c>
      <c r="B37" s="12" t="s">
        <v>57</v>
      </c>
      <c r="C37" s="9">
        <f t="shared" si="3"/>
        <v>2096.1999999999998</v>
      </c>
      <c r="D37" s="10"/>
      <c r="E37" s="9">
        <f>1125.4+55.6</f>
        <v>1181</v>
      </c>
      <c r="F37" s="9">
        <f>840.9+15+10.2</f>
        <v>866.1</v>
      </c>
      <c r="G37" s="10">
        <v>7.9</v>
      </c>
      <c r="H37" s="10"/>
      <c r="I37" s="10"/>
      <c r="J37" s="10"/>
      <c r="K37" s="10">
        <v>41.2</v>
      </c>
    </row>
    <row r="38" spans="1:11" ht="25.5" x14ac:dyDescent="0.2">
      <c r="A38" s="7">
        <v>15</v>
      </c>
      <c r="B38" s="13" t="s">
        <v>15</v>
      </c>
      <c r="C38" s="9">
        <f>+C39</f>
        <v>3455.4</v>
      </c>
      <c r="D38" s="10">
        <f t="shared" ref="D38:H38" si="28">+D39</f>
        <v>0</v>
      </c>
      <c r="E38" s="9">
        <f t="shared" si="28"/>
        <v>2633.8</v>
      </c>
      <c r="F38" s="9">
        <f t="shared" si="28"/>
        <v>749.5</v>
      </c>
      <c r="G38" s="10">
        <f t="shared" si="28"/>
        <v>22.200000000000003</v>
      </c>
      <c r="H38" s="10">
        <f t="shared" si="28"/>
        <v>0</v>
      </c>
      <c r="I38" s="10"/>
      <c r="J38" s="10">
        <f t="shared" ref="J38:K38" si="29">+J39</f>
        <v>0</v>
      </c>
      <c r="K38" s="10">
        <f t="shared" si="29"/>
        <v>49.900000000000006</v>
      </c>
    </row>
    <row r="39" spans="1:11" ht="13.5" customHeight="1" x14ac:dyDescent="0.2">
      <c r="A39" s="11" t="s">
        <v>90</v>
      </c>
      <c r="B39" s="12" t="s">
        <v>57</v>
      </c>
      <c r="C39" s="9">
        <f t="shared" si="3"/>
        <v>3455.4</v>
      </c>
      <c r="D39" s="10"/>
      <c r="E39" s="9">
        <f>2581.3+52.5</f>
        <v>2633.8</v>
      </c>
      <c r="F39" s="9">
        <f>723.1+13+13.4</f>
        <v>749.5</v>
      </c>
      <c r="G39" s="10">
        <f>19.1+3.1</f>
        <v>22.200000000000003</v>
      </c>
      <c r="H39" s="10"/>
      <c r="I39" s="10"/>
      <c r="J39" s="10"/>
      <c r="K39" s="10">
        <f>71.4-17.5-2-2</f>
        <v>49.900000000000006</v>
      </c>
    </row>
    <row r="40" spans="1:11" ht="13.5" customHeight="1" x14ac:dyDescent="0.2">
      <c r="A40" s="7">
        <v>16</v>
      </c>
      <c r="B40" s="8" t="s">
        <v>16</v>
      </c>
      <c r="C40" s="9">
        <f>+C41</f>
        <v>3146.8</v>
      </c>
      <c r="D40" s="10">
        <f t="shared" ref="D40:H40" si="30">+D41</f>
        <v>0</v>
      </c>
      <c r="E40" s="9">
        <f t="shared" si="30"/>
        <v>2580.5</v>
      </c>
      <c r="F40" s="9">
        <f t="shared" si="30"/>
        <v>536.59999999999991</v>
      </c>
      <c r="G40" s="10">
        <f t="shared" si="30"/>
        <v>20.3</v>
      </c>
      <c r="H40" s="10">
        <f t="shared" si="30"/>
        <v>0</v>
      </c>
      <c r="I40" s="10"/>
      <c r="J40" s="10">
        <f t="shared" ref="J40:K40" si="31">+J41</f>
        <v>0</v>
      </c>
      <c r="K40" s="10">
        <f t="shared" si="31"/>
        <v>9.4</v>
      </c>
    </row>
    <row r="41" spans="1:11" ht="13.5" customHeight="1" x14ac:dyDescent="0.2">
      <c r="A41" s="11" t="s">
        <v>91</v>
      </c>
      <c r="B41" s="12" t="s">
        <v>57</v>
      </c>
      <c r="C41" s="9">
        <f t="shared" si="3"/>
        <v>3146.8</v>
      </c>
      <c r="D41" s="10"/>
      <c r="E41" s="9">
        <f>2477.4+103.1</f>
        <v>2580.5</v>
      </c>
      <c r="F41" s="9">
        <f>530.8+5.8</f>
        <v>536.59999999999991</v>
      </c>
      <c r="G41" s="10">
        <v>20.3</v>
      </c>
      <c r="H41" s="10"/>
      <c r="I41" s="10"/>
      <c r="J41" s="10"/>
      <c r="K41" s="10">
        <v>9.4</v>
      </c>
    </row>
    <row r="42" spans="1:11" ht="13.5" customHeight="1" x14ac:dyDescent="0.2">
      <c r="A42" s="7">
        <v>17</v>
      </c>
      <c r="B42" s="13" t="s">
        <v>17</v>
      </c>
      <c r="C42" s="9">
        <f>+C43</f>
        <v>2486.6</v>
      </c>
      <c r="D42" s="10">
        <f t="shared" ref="D42:H42" si="32">+D43</f>
        <v>0</v>
      </c>
      <c r="E42" s="9">
        <f t="shared" si="32"/>
        <v>1914.8000000000002</v>
      </c>
      <c r="F42" s="9">
        <f t="shared" si="32"/>
        <v>542.5</v>
      </c>
      <c r="G42" s="10">
        <f t="shared" si="32"/>
        <v>17.600000000000001</v>
      </c>
      <c r="H42" s="10">
        <f t="shared" si="32"/>
        <v>0</v>
      </c>
      <c r="I42" s="10"/>
      <c r="J42" s="10">
        <f t="shared" ref="J42:K42" si="33">+J43</f>
        <v>0</v>
      </c>
      <c r="K42" s="10">
        <f t="shared" si="33"/>
        <v>11.7</v>
      </c>
    </row>
    <row r="43" spans="1:11" ht="13.5" customHeight="1" x14ac:dyDescent="0.2">
      <c r="A43" s="11" t="s">
        <v>92</v>
      </c>
      <c r="B43" s="12" t="s">
        <v>57</v>
      </c>
      <c r="C43" s="9">
        <f t="shared" si="3"/>
        <v>2486.6</v>
      </c>
      <c r="D43" s="10"/>
      <c r="E43" s="9">
        <f>1854.9+59.9</f>
        <v>1914.8000000000002</v>
      </c>
      <c r="F43" s="9">
        <f>536.1+6.4</f>
        <v>542.5</v>
      </c>
      <c r="G43" s="10">
        <f>3.6+14</f>
        <v>17.600000000000001</v>
      </c>
      <c r="H43" s="10"/>
      <c r="I43" s="10"/>
      <c r="J43" s="10"/>
      <c r="K43" s="10">
        <f>13-0.3-1</f>
        <v>11.7</v>
      </c>
    </row>
    <row r="44" spans="1:11" ht="13.5" customHeight="1" x14ac:dyDescent="0.2">
      <c r="A44" s="7">
        <v>18</v>
      </c>
      <c r="B44" s="13" t="s">
        <v>18</v>
      </c>
      <c r="C44" s="9">
        <f>+C45</f>
        <v>970.50000000000011</v>
      </c>
      <c r="D44" s="10">
        <f t="shared" ref="D44:H44" si="34">+D45</f>
        <v>0</v>
      </c>
      <c r="E44" s="10">
        <f t="shared" si="34"/>
        <v>626.30000000000007</v>
      </c>
      <c r="F44" s="10">
        <f t="shared" si="34"/>
        <v>342.1</v>
      </c>
      <c r="G44" s="10">
        <f t="shared" si="34"/>
        <v>0.9</v>
      </c>
      <c r="H44" s="10">
        <f t="shared" si="34"/>
        <v>0</v>
      </c>
      <c r="I44" s="10"/>
      <c r="J44" s="10">
        <f t="shared" ref="J44:K44" si="35">+J45</f>
        <v>0</v>
      </c>
      <c r="K44" s="10">
        <f t="shared" si="35"/>
        <v>1.2</v>
      </c>
    </row>
    <row r="45" spans="1:11" ht="13.5" customHeight="1" x14ac:dyDescent="0.2">
      <c r="A45" s="11" t="s">
        <v>93</v>
      </c>
      <c r="B45" s="12" t="s">
        <v>57</v>
      </c>
      <c r="C45" s="9">
        <f t="shared" si="3"/>
        <v>970.50000000000011</v>
      </c>
      <c r="D45" s="10"/>
      <c r="E45" s="10">
        <f>614.2+12.1</f>
        <v>626.30000000000007</v>
      </c>
      <c r="F45" s="10">
        <v>342.1</v>
      </c>
      <c r="G45" s="10">
        <v>0.9</v>
      </c>
      <c r="H45" s="10"/>
      <c r="I45" s="10"/>
      <c r="J45" s="10"/>
      <c r="K45" s="10">
        <f>1.4-0.2</f>
        <v>1.2</v>
      </c>
    </row>
    <row r="46" spans="1:11" ht="13.5" customHeight="1" x14ac:dyDescent="0.2">
      <c r="A46" s="7">
        <v>19</v>
      </c>
      <c r="B46" s="13" t="s">
        <v>19</v>
      </c>
      <c r="C46" s="9">
        <f>+C47</f>
        <v>2298.1999999999998</v>
      </c>
      <c r="D46" s="10">
        <f t="shared" ref="D46:H46" si="36">+D47</f>
        <v>0</v>
      </c>
      <c r="E46" s="10">
        <f t="shared" si="36"/>
        <v>1281.2</v>
      </c>
      <c r="F46" s="10">
        <f t="shared" si="36"/>
        <v>942.8</v>
      </c>
      <c r="G46" s="10">
        <f t="shared" si="36"/>
        <v>12.2</v>
      </c>
      <c r="H46" s="10">
        <f t="shared" si="36"/>
        <v>0</v>
      </c>
      <c r="I46" s="10"/>
      <c r="J46" s="10">
        <f t="shared" ref="J46:K46" si="37">+J47</f>
        <v>0</v>
      </c>
      <c r="K46" s="10">
        <f t="shared" si="37"/>
        <v>62</v>
      </c>
    </row>
    <row r="47" spans="1:11" ht="13.5" customHeight="1" x14ac:dyDescent="0.2">
      <c r="A47" s="11" t="s">
        <v>94</v>
      </c>
      <c r="B47" s="12" t="s">
        <v>57</v>
      </c>
      <c r="C47" s="9">
        <f t="shared" si="3"/>
        <v>2298.1999999999998</v>
      </c>
      <c r="D47" s="10"/>
      <c r="E47" s="10">
        <f>1214.4+63.2+3.6</f>
        <v>1281.2</v>
      </c>
      <c r="F47" s="10">
        <f>929.5+13.3</f>
        <v>942.8</v>
      </c>
      <c r="G47" s="10">
        <f>10.7+1.5</f>
        <v>12.2</v>
      </c>
      <c r="H47" s="10"/>
      <c r="I47" s="10"/>
      <c r="J47" s="10"/>
      <c r="K47" s="10">
        <v>62</v>
      </c>
    </row>
    <row r="48" spans="1:11" ht="25.5" x14ac:dyDescent="0.2">
      <c r="A48" s="7">
        <v>20</v>
      </c>
      <c r="B48" s="13" t="s">
        <v>20</v>
      </c>
      <c r="C48" s="9">
        <f>+C49</f>
        <v>824</v>
      </c>
      <c r="D48" s="10">
        <f t="shared" ref="D48:H48" si="38">+D49</f>
        <v>0</v>
      </c>
      <c r="E48" s="10">
        <f t="shared" si="38"/>
        <v>467.3</v>
      </c>
      <c r="F48" s="10">
        <f t="shared" si="38"/>
        <v>349.8</v>
      </c>
      <c r="G48" s="10">
        <f t="shared" si="38"/>
        <v>3</v>
      </c>
      <c r="H48" s="10">
        <f t="shared" si="38"/>
        <v>0</v>
      </c>
      <c r="I48" s="10"/>
      <c r="J48" s="10">
        <f t="shared" ref="J48:K48" si="39">+J49</f>
        <v>0</v>
      </c>
      <c r="K48" s="10">
        <f t="shared" si="39"/>
        <v>3.9</v>
      </c>
    </row>
    <row r="49" spans="1:11" ht="13.5" customHeight="1" x14ac:dyDescent="0.2">
      <c r="A49" s="11" t="s">
        <v>95</v>
      </c>
      <c r="B49" s="12" t="s">
        <v>57</v>
      </c>
      <c r="C49" s="9">
        <f t="shared" si="3"/>
        <v>824</v>
      </c>
      <c r="D49" s="10"/>
      <c r="E49" s="10">
        <f>456.2+11.1</f>
        <v>467.3</v>
      </c>
      <c r="F49" s="10">
        <f>341.3+8.5</f>
        <v>349.8</v>
      </c>
      <c r="G49" s="10">
        <f>1.1+1.9</f>
        <v>3</v>
      </c>
      <c r="H49" s="10"/>
      <c r="I49" s="10"/>
      <c r="J49" s="10"/>
      <c r="K49" s="10">
        <f>5.4+0.1-1.6</f>
        <v>3.9</v>
      </c>
    </row>
    <row r="50" spans="1:11" ht="25.5" x14ac:dyDescent="0.2">
      <c r="A50" s="7">
        <v>21</v>
      </c>
      <c r="B50" s="13" t="s">
        <v>21</v>
      </c>
      <c r="C50" s="9">
        <f>+C51</f>
        <v>1055.5000000000002</v>
      </c>
      <c r="D50" s="10">
        <f t="shared" ref="D50:H50" si="40">+D51</f>
        <v>0</v>
      </c>
      <c r="E50" s="10">
        <f t="shared" si="40"/>
        <v>272.90000000000003</v>
      </c>
      <c r="F50" s="10">
        <f t="shared" si="40"/>
        <v>610.20000000000005</v>
      </c>
      <c r="G50" s="10">
        <f t="shared" si="40"/>
        <v>11.2</v>
      </c>
      <c r="H50" s="10">
        <f t="shared" si="40"/>
        <v>0</v>
      </c>
      <c r="I50" s="10"/>
      <c r="J50" s="10">
        <f t="shared" ref="J50:K50" si="41">+J51</f>
        <v>0</v>
      </c>
      <c r="K50" s="10">
        <f t="shared" si="41"/>
        <v>161.19999999999999</v>
      </c>
    </row>
    <row r="51" spans="1:11" ht="13.5" customHeight="1" x14ac:dyDescent="0.2">
      <c r="A51" s="11" t="s">
        <v>96</v>
      </c>
      <c r="B51" s="12" t="s">
        <v>57</v>
      </c>
      <c r="C51" s="9">
        <f t="shared" si="3"/>
        <v>1055.5000000000002</v>
      </c>
      <c r="D51" s="10"/>
      <c r="E51" s="10">
        <f>271.3+1.6</f>
        <v>272.90000000000003</v>
      </c>
      <c r="F51" s="10">
        <f>594.7+13.3+2.2</f>
        <v>610.20000000000005</v>
      </c>
      <c r="G51" s="10">
        <v>11.2</v>
      </c>
      <c r="H51" s="10"/>
      <c r="I51" s="10"/>
      <c r="J51" s="10"/>
      <c r="K51" s="10">
        <f>135.2+6+20</f>
        <v>161.19999999999999</v>
      </c>
    </row>
    <row r="52" spans="1:11" ht="13.5" customHeight="1" x14ac:dyDescent="0.2">
      <c r="A52" s="7">
        <v>22</v>
      </c>
      <c r="B52" s="8" t="s">
        <v>22</v>
      </c>
      <c r="C52" s="9">
        <f>+C53</f>
        <v>1895.5</v>
      </c>
      <c r="D52" s="10">
        <f t="shared" ref="D52:H52" si="42">+D53</f>
        <v>0</v>
      </c>
      <c r="E52" s="9">
        <f t="shared" si="42"/>
        <v>1082.8</v>
      </c>
      <c r="F52" s="10">
        <f t="shared" si="42"/>
        <v>3.6</v>
      </c>
      <c r="G52" s="10">
        <f t="shared" si="42"/>
        <v>786.1</v>
      </c>
      <c r="H52" s="10">
        <f t="shared" si="42"/>
        <v>4.5</v>
      </c>
      <c r="I52" s="10"/>
      <c r="J52" s="10">
        <f t="shared" ref="J52:K52" si="43">+J53</f>
        <v>0</v>
      </c>
      <c r="K52" s="10">
        <f t="shared" si="43"/>
        <v>18.500000000000004</v>
      </c>
    </row>
    <row r="53" spans="1:11" ht="13.5" customHeight="1" x14ac:dyDescent="0.2">
      <c r="A53" s="11" t="s">
        <v>97</v>
      </c>
      <c r="B53" s="12" t="s">
        <v>57</v>
      </c>
      <c r="C53" s="9">
        <f t="shared" si="3"/>
        <v>1895.5</v>
      </c>
      <c r="D53" s="10"/>
      <c r="E53" s="9">
        <f>1024.1+58.7</f>
        <v>1082.8</v>
      </c>
      <c r="F53" s="10">
        <f>3+0.6</f>
        <v>3.6</v>
      </c>
      <c r="G53" s="10">
        <v>786.1</v>
      </c>
      <c r="H53" s="10">
        <v>4.5</v>
      </c>
      <c r="I53" s="10"/>
      <c r="J53" s="10"/>
      <c r="K53" s="10">
        <f>17+2.6+0.3-1.4</f>
        <v>18.500000000000004</v>
      </c>
    </row>
    <row r="54" spans="1:11" ht="13.5" customHeight="1" x14ac:dyDescent="0.2">
      <c r="A54" s="7">
        <v>23</v>
      </c>
      <c r="B54" s="8" t="s">
        <v>23</v>
      </c>
      <c r="C54" s="9">
        <f>+C55</f>
        <v>693.4</v>
      </c>
      <c r="D54" s="10">
        <f t="shared" ref="D54:H54" si="44">+D55</f>
        <v>0</v>
      </c>
      <c r="E54" s="10">
        <f t="shared" si="44"/>
        <v>27.700000000000003</v>
      </c>
      <c r="F54" s="10">
        <f t="shared" si="44"/>
        <v>491.2</v>
      </c>
      <c r="G54" s="10">
        <f t="shared" si="44"/>
        <v>30.9</v>
      </c>
      <c r="H54" s="10">
        <f t="shared" si="44"/>
        <v>2.2000000000000002</v>
      </c>
      <c r="I54" s="10"/>
      <c r="J54" s="10">
        <f t="shared" ref="J54:K54" si="45">+J55</f>
        <v>0</v>
      </c>
      <c r="K54" s="10">
        <f t="shared" si="45"/>
        <v>141.4</v>
      </c>
    </row>
    <row r="55" spans="1:11" ht="13.5" customHeight="1" x14ac:dyDescent="0.2">
      <c r="A55" s="11" t="s">
        <v>98</v>
      </c>
      <c r="B55" s="12" t="s">
        <v>57</v>
      </c>
      <c r="C55" s="9">
        <f t="shared" si="3"/>
        <v>693.4</v>
      </c>
      <c r="D55" s="10"/>
      <c r="E55" s="10">
        <f>27.1+0.6</f>
        <v>27.700000000000003</v>
      </c>
      <c r="F55" s="10">
        <f>484.2+7</f>
        <v>491.2</v>
      </c>
      <c r="G55" s="10">
        <v>30.9</v>
      </c>
      <c r="H55" s="10">
        <v>2.2000000000000002</v>
      </c>
      <c r="I55" s="10"/>
      <c r="J55" s="10"/>
      <c r="K55" s="10">
        <v>141.4</v>
      </c>
    </row>
    <row r="56" spans="1:11" ht="13.5" customHeight="1" x14ac:dyDescent="0.2">
      <c r="A56" s="7">
        <v>24</v>
      </c>
      <c r="B56" s="8" t="s">
        <v>24</v>
      </c>
      <c r="C56" s="9">
        <f>+C57</f>
        <v>647.5</v>
      </c>
      <c r="D56" s="10">
        <f t="shared" ref="D56:H56" si="46">+D57</f>
        <v>0</v>
      </c>
      <c r="E56" s="10">
        <f t="shared" si="46"/>
        <v>0</v>
      </c>
      <c r="F56" s="10">
        <f t="shared" si="46"/>
        <v>477.2</v>
      </c>
      <c r="G56" s="10">
        <f t="shared" si="46"/>
        <v>25.8</v>
      </c>
      <c r="H56" s="10">
        <f t="shared" si="46"/>
        <v>0</v>
      </c>
      <c r="I56" s="10"/>
      <c r="J56" s="10">
        <f t="shared" ref="J56:K56" si="47">+J57</f>
        <v>0</v>
      </c>
      <c r="K56" s="10">
        <f t="shared" si="47"/>
        <v>144.5</v>
      </c>
    </row>
    <row r="57" spans="1:11" ht="13.5" customHeight="1" x14ac:dyDescent="0.2">
      <c r="A57" s="11" t="s">
        <v>99</v>
      </c>
      <c r="B57" s="12" t="s">
        <v>57</v>
      </c>
      <c r="C57" s="9">
        <f t="shared" si="3"/>
        <v>647.5</v>
      </c>
      <c r="D57" s="10"/>
      <c r="E57" s="10"/>
      <c r="F57" s="10">
        <v>477.2</v>
      </c>
      <c r="G57" s="10">
        <v>25.8</v>
      </c>
      <c r="H57" s="10"/>
      <c r="I57" s="10"/>
      <c r="J57" s="10"/>
      <c r="K57" s="10">
        <f>142.9+1.6</f>
        <v>144.5</v>
      </c>
    </row>
    <row r="58" spans="1:11" ht="13.5" customHeight="1" x14ac:dyDescent="0.2">
      <c r="A58" s="7">
        <v>25</v>
      </c>
      <c r="B58" s="8" t="s">
        <v>25</v>
      </c>
      <c r="C58" s="9">
        <f>+C59</f>
        <v>1505.8999999999999</v>
      </c>
      <c r="D58" s="10">
        <f t="shared" ref="D58:H58" si="48">+D59</f>
        <v>0</v>
      </c>
      <c r="E58" s="10">
        <f t="shared" si="48"/>
        <v>35.800000000000004</v>
      </c>
      <c r="F58" s="9">
        <f t="shared" si="48"/>
        <v>1251</v>
      </c>
      <c r="G58" s="10">
        <f t="shared" si="48"/>
        <v>92.6</v>
      </c>
      <c r="H58" s="10">
        <f t="shared" si="48"/>
        <v>0</v>
      </c>
      <c r="I58" s="10"/>
      <c r="J58" s="10">
        <f t="shared" ref="J58:K58" si="49">+J59</f>
        <v>0</v>
      </c>
      <c r="K58" s="10">
        <f t="shared" si="49"/>
        <v>126.5</v>
      </c>
    </row>
    <row r="59" spans="1:11" ht="13.5" customHeight="1" x14ac:dyDescent="0.2">
      <c r="A59" s="11" t="s">
        <v>100</v>
      </c>
      <c r="B59" s="12" t="s">
        <v>57</v>
      </c>
      <c r="C59" s="9">
        <f t="shared" si="3"/>
        <v>1505.8999999999999</v>
      </c>
      <c r="D59" s="10"/>
      <c r="E59" s="10">
        <f>34.7+1.1</f>
        <v>35.800000000000004</v>
      </c>
      <c r="F59" s="9">
        <v>1251</v>
      </c>
      <c r="G59" s="10">
        <v>92.6</v>
      </c>
      <c r="H59" s="10"/>
      <c r="I59" s="10"/>
      <c r="J59" s="10"/>
      <c r="K59" s="10">
        <v>126.5</v>
      </c>
    </row>
    <row r="60" spans="1:11" ht="13.5" customHeight="1" x14ac:dyDescent="0.2">
      <c r="A60" s="7">
        <v>26</v>
      </c>
      <c r="B60" s="8" t="s">
        <v>26</v>
      </c>
      <c r="C60" s="9">
        <f>+C61</f>
        <v>1156.5</v>
      </c>
      <c r="D60" s="10">
        <f t="shared" ref="D60:H60" si="50">+D61</f>
        <v>0</v>
      </c>
      <c r="E60" s="10">
        <f t="shared" si="50"/>
        <v>520</v>
      </c>
      <c r="F60" s="10">
        <f t="shared" si="50"/>
        <v>200.2</v>
      </c>
      <c r="G60" s="10">
        <f t="shared" si="50"/>
        <v>410.8</v>
      </c>
      <c r="H60" s="10">
        <f t="shared" si="50"/>
        <v>0</v>
      </c>
      <c r="I60" s="10"/>
      <c r="J60" s="10">
        <f t="shared" ref="J60:K60" si="51">+J61</f>
        <v>0</v>
      </c>
      <c r="K60" s="10">
        <f t="shared" si="51"/>
        <v>25.5</v>
      </c>
    </row>
    <row r="61" spans="1:11" ht="13.5" customHeight="1" x14ac:dyDescent="0.2">
      <c r="A61" s="11" t="s">
        <v>101</v>
      </c>
      <c r="B61" s="12" t="s">
        <v>57</v>
      </c>
      <c r="C61" s="9">
        <f t="shared" si="3"/>
        <v>1156.5</v>
      </c>
      <c r="D61" s="10"/>
      <c r="E61" s="10">
        <f>958.9+5.8+7.5+2.6+0.9-441.2-14.5</f>
        <v>520</v>
      </c>
      <c r="F61" s="10">
        <f>196.5+3.7</f>
        <v>200.2</v>
      </c>
      <c r="G61" s="10">
        <f>360.3+50.5</f>
        <v>410.8</v>
      </c>
      <c r="H61" s="10"/>
      <c r="I61" s="10"/>
      <c r="J61" s="10"/>
      <c r="K61" s="10">
        <f>25.1+0.4</f>
        <v>25.5</v>
      </c>
    </row>
    <row r="62" spans="1:11" ht="13.5" customHeight="1" x14ac:dyDescent="0.2">
      <c r="A62" s="7">
        <v>27</v>
      </c>
      <c r="B62" s="8" t="s">
        <v>27</v>
      </c>
      <c r="C62" s="9">
        <f>+C63</f>
        <v>1585.3</v>
      </c>
      <c r="D62" s="10">
        <f t="shared" ref="D62:H62" si="52">+D63</f>
        <v>0</v>
      </c>
      <c r="E62" s="10">
        <f t="shared" si="52"/>
        <v>72.699999999999989</v>
      </c>
      <c r="F62" s="10">
        <f t="shared" si="52"/>
        <v>1330.3999999999999</v>
      </c>
      <c r="G62" s="10">
        <f t="shared" si="52"/>
        <v>0</v>
      </c>
      <c r="H62" s="10">
        <f t="shared" si="52"/>
        <v>0</v>
      </c>
      <c r="I62" s="10"/>
      <c r="J62" s="10">
        <f t="shared" ref="J62:K62" si="53">+J63</f>
        <v>0</v>
      </c>
      <c r="K62" s="10">
        <f t="shared" si="53"/>
        <v>182.2</v>
      </c>
    </row>
    <row r="63" spans="1:11" ht="13.5" customHeight="1" x14ac:dyDescent="0.2">
      <c r="A63" s="11" t="s">
        <v>102</v>
      </c>
      <c r="B63" s="12" t="s">
        <v>57</v>
      </c>
      <c r="C63" s="9">
        <f t="shared" si="3"/>
        <v>1585.3</v>
      </c>
      <c r="D63" s="10"/>
      <c r="E63" s="10">
        <f>71.1+1.6</f>
        <v>72.699999999999989</v>
      </c>
      <c r="F63" s="10">
        <f>1278.8+45+6.6</f>
        <v>1330.3999999999999</v>
      </c>
      <c r="G63" s="10"/>
      <c r="H63" s="10"/>
      <c r="I63" s="10"/>
      <c r="J63" s="10"/>
      <c r="K63" s="10">
        <f>177.2+5</f>
        <v>182.2</v>
      </c>
    </row>
    <row r="64" spans="1:11" ht="13.5" customHeight="1" x14ac:dyDescent="0.2">
      <c r="A64" s="7">
        <v>28</v>
      </c>
      <c r="B64" s="8" t="s">
        <v>28</v>
      </c>
      <c r="C64" s="9">
        <f>+C65</f>
        <v>1439.8</v>
      </c>
      <c r="D64" s="10">
        <f t="shared" ref="D64:H64" si="54">+D65</f>
        <v>0</v>
      </c>
      <c r="E64" s="10">
        <f t="shared" si="54"/>
        <v>0</v>
      </c>
      <c r="F64" s="9">
        <f t="shared" si="54"/>
        <v>1429.3</v>
      </c>
      <c r="G64" s="10">
        <f t="shared" si="54"/>
        <v>0</v>
      </c>
      <c r="H64" s="10">
        <f t="shared" si="54"/>
        <v>0</v>
      </c>
      <c r="I64" s="10"/>
      <c r="J64" s="10">
        <f t="shared" ref="J64:K64" si="55">+J65</f>
        <v>0</v>
      </c>
      <c r="K64" s="10">
        <f t="shared" si="55"/>
        <v>10.5</v>
      </c>
    </row>
    <row r="65" spans="1:11" ht="13.5" customHeight="1" x14ac:dyDescent="0.2">
      <c r="A65" s="11" t="s">
        <v>104</v>
      </c>
      <c r="B65" s="12" t="s">
        <v>57</v>
      </c>
      <c r="C65" s="9">
        <f t="shared" si="3"/>
        <v>1439.8</v>
      </c>
      <c r="D65" s="10"/>
      <c r="E65" s="10"/>
      <c r="F65" s="9">
        <f>1390.8+24.6+13.9</f>
        <v>1429.3</v>
      </c>
      <c r="G65" s="10"/>
      <c r="H65" s="10"/>
      <c r="I65" s="10"/>
      <c r="J65" s="10"/>
      <c r="K65" s="10">
        <f>19-4.5-4</f>
        <v>10.5</v>
      </c>
    </row>
    <row r="66" spans="1:11" ht="13.5" customHeight="1" x14ac:dyDescent="0.2">
      <c r="A66" s="7">
        <v>29</v>
      </c>
      <c r="B66" s="14" t="s">
        <v>29</v>
      </c>
      <c r="C66" s="9">
        <f>+C67</f>
        <v>391.9</v>
      </c>
      <c r="D66" s="10">
        <f t="shared" ref="D66:H66" si="56">+D67</f>
        <v>0</v>
      </c>
      <c r="E66" s="10">
        <f t="shared" si="56"/>
        <v>0</v>
      </c>
      <c r="F66" s="10">
        <f t="shared" si="56"/>
        <v>381.5</v>
      </c>
      <c r="G66" s="10">
        <f t="shared" si="56"/>
        <v>0</v>
      </c>
      <c r="H66" s="10">
        <f t="shared" si="56"/>
        <v>0</v>
      </c>
      <c r="I66" s="10"/>
      <c r="J66" s="10">
        <f t="shared" ref="J66:K66" si="57">+J67</f>
        <v>0</v>
      </c>
      <c r="K66" s="10">
        <f t="shared" si="57"/>
        <v>10.4</v>
      </c>
    </row>
    <row r="67" spans="1:11" ht="13.5" customHeight="1" x14ac:dyDescent="0.2">
      <c r="A67" s="11" t="s">
        <v>105</v>
      </c>
      <c r="B67" s="12" t="s">
        <v>57</v>
      </c>
      <c r="C67" s="9">
        <f t="shared" si="3"/>
        <v>391.9</v>
      </c>
      <c r="D67" s="10"/>
      <c r="E67" s="10"/>
      <c r="F67" s="10">
        <v>381.5</v>
      </c>
      <c r="G67" s="10"/>
      <c r="H67" s="10"/>
      <c r="I67" s="10"/>
      <c r="J67" s="10"/>
      <c r="K67" s="10">
        <f>5.4+1.6+2.6+0.8</f>
        <v>10.4</v>
      </c>
    </row>
    <row r="68" spans="1:11" ht="13.5" customHeight="1" x14ac:dyDescent="0.2">
      <c r="A68" s="7">
        <v>30</v>
      </c>
      <c r="B68" s="8" t="s">
        <v>30</v>
      </c>
      <c r="C68" s="9">
        <f>+C69</f>
        <v>319.2</v>
      </c>
      <c r="D68" s="10">
        <f t="shared" ref="D68:H68" si="58">+D69</f>
        <v>0</v>
      </c>
      <c r="E68" s="10">
        <f t="shared" si="58"/>
        <v>0</v>
      </c>
      <c r="F68" s="10">
        <f t="shared" si="58"/>
        <v>316</v>
      </c>
      <c r="G68" s="10">
        <f t="shared" si="58"/>
        <v>0</v>
      </c>
      <c r="H68" s="10">
        <f t="shared" si="58"/>
        <v>0</v>
      </c>
      <c r="I68" s="10"/>
      <c r="J68" s="10">
        <f t="shared" ref="J68:K68" si="59">+J69</f>
        <v>0</v>
      </c>
      <c r="K68" s="10">
        <f t="shared" si="59"/>
        <v>3.2</v>
      </c>
    </row>
    <row r="69" spans="1:11" ht="13.5" customHeight="1" x14ac:dyDescent="0.2">
      <c r="A69" s="11" t="s">
        <v>106</v>
      </c>
      <c r="B69" s="12" t="s">
        <v>57</v>
      </c>
      <c r="C69" s="9">
        <f t="shared" si="3"/>
        <v>319.2</v>
      </c>
      <c r="D69" s="10"/>
      <c r="E69" s="10"/>
      <c r="F69" s="10">
        <v>316</v>
      </c>
      <c r="G69" s="10"/>
      <c r="H69" s="10"/>
      <c r="I69" s="10"/>
      <c r="J69" s="10"/>
      <c r="K69" s="10">
        <v>3.2</v>
      </c>
    </row>
    <row r="70" spans="1:11" ht="13.5" customHeight="1" x14ac:dyDescent="0.2">
      <c r="A70" s="7">
        <v>31</v>
      </c>
      <c r="B70" s="8" t="s">
        <v>31</v>
      </c>
      <c r="C70" s="9">
        <f>+C71</f>
        <v>281.7</v>
      </c>
      <c r="D70" s="10">
        <f t="shared" ref="D70:H70" si="60">+D71</f>
        <v>0</v>
      </c>
      <c r="E70" s="10">
        <f t="shared" si="60"/>
        <v>0</v>
      </c>
      <c r="F70" s="10">
        <f t="shared" si="60"/>
        <v>277.2</v>
      </c>
      <c r="G70" s="10">
        <f t="shared" si="60"/>
        <v>0</v>
      </c>
      <c r="H70" s="10">
        <f t="shared" si="60"/>
        <v>0</v>
      </c>
      <c r="I70" s="10"/>
      <c r="J70" s="10">
        <f t="shared" ref="J70:K70" si="61">+J71</f>
        <v>0</v>
      </c>
      <c r="K70" s="10">
        <f t="shared" si="61"/>
        <v>4.5</v>
      </c>
    </row>
    <row r="71" spans="1:11" ht="13.5" customHeight="1" x14ac:dyDescent="0.2">
      <c r="A71" s="11" t="s">
        <v>107</v>
      </c>
      <c r="B71" s="12" t="s">
        <v>57</v>
      </c>
      <c r="C71" s="9">
        <f t="shared" si="3"/>
        <v>281.7</v>
      </c>
      <c r="D71" s="10"/>
      <c r="E71" s="10"/>
      <c r="F71" s="10">
        <f>262.7+5+9.5</f>
        <v>277.2</v>
      </c>
      <c r="G71" s="10"/>
      <c r="H71" s="10"/>
      <c r="I71" s="10"/>
      <c r="J71" s="10"/>
      <c r="K71" s="10">
        <f>8-2.4-1.1</f>
        <v>4.5</v>
      </c>
    </row>
    <row r="72" spans="1:11" ht="13.5" customHeight="1" x14ac:dyDescent="0.2">
      <c r="A72" s="7">
        <v>32</v>
      </c>
      <c r="B72" s="8" t="s">
        <v>32</v>
      </c>
      <c r="C72" s="9">
        <f>+C73</f>
        <v>205</v>
      </c>
      <c r="D72" s="10">
        <f t="shared" ref="D72:H72" si="62">+D73</f>
        <v>0</v>
      </c>
      <c r="E72" s="10">
        <f t="shared" si="62"/>
        <v>0</v>
      </c>
      <c r="F72" s="10">
        <f t="shared" si="62"/>
        <v>203.9</v>
      </c>
      <c r="G72" s="10">
        <f t="shared" si="62"/>
        <v>0</v>
      </c>
      <c r="H72" s="10">
        <f t="shared" si="62"/>
        <v>0</v>
      </c>
      <c r="I72" s="10"/>
      <c r="J72" s="10">
        <f t="shared" ref="J72:K72" si="63">+J73</f>
        <v>0</v>
      </c>
      <c r="K72" s="10">
        <f t="shared" si="63"/>
        <v>1.1000000000000001</v>
      </c>
    </row>
    <row r="73" spans="1:11" ht="13.5" customHeight="1" x14ac:dyDescent="0.2">
      <c r="A73" s="11" t="s">
        <v>108</v>
      </c>
      <c r="B73" s="12" t="s">
        <v>57</v>
      </c>
      <c r="C73" s="9">
        <f t="shared" si="3"/>
        <v>205</v>
      </c>
      <c r="D73" s="10"/>
      <c r="E73" s="10"/>
      <c r="F73" s="10">
        <v>203.9</v>
      </c>
      <c r="G73" s="10"/>
      <c r="H73" s="10"/>
      <c r="I73" s="10"/>
      <c r="J73" s="10"/>
      <c r="K73" s="10">
        <v>1.1000000000000001</v>
      </c>
    </row>
    <row r="74" spans="1:11" ht="13.5" customHeight="1" x14ac:dyDescent="0.2">
      <c r="A74" s="7">
        <v>33</v>
      </c>
      <c r="B74" s="8" t="s">
        <v>33</v>
      </c>
      <c r="C74" s="9">
        <f>+C75</f>
        <v>159.5</v>
      </c>
      <c r="D74" s="10">
        <f t="shared" ref="D74:H74" si="64">+D75</f>
        <v>0</v>
      </c>
      <c r="E74" s="10">
        <f t="shared" si="64"/>
        <v>0</v>
      </c>
      <c r="F74" s="10">
        <f t="shared" si="64"/>
        <v>158.4</v>
      </c>
      <c r="G74" s="10">
        <f t="shared" si="64"/>
        <v>0</v>
      </c>
      <c r="H74" s="10">
        <f t="shared" si="64"/>
        <v>0</v>
      </c>
      <c r="I74" s="10"/>
      <c r="J74" s="10">
        <f t="shared" ref="J74:K74" si="65">+J75</f>
        <v>0</v>
      </c>
      <c r="K74" s="10">
        <f t="shared" si="65"/>
        <v>1.1000000000000001</v>
      </c>
    </row>
    <row r="75" spans="1:11" ht="13.5" customHeight="1" x14ac:dyDescent="0.2">
      <c r="A75" s="11" t="s">
        <v>109</v>
      </c>
      <c r="B75" s="12" t="s">
        <v>57</v>
      </c>
      <c r="C75" s="9">
        <f>+D75+E75+F75+G75+H75+J75+K75</f>
        <v>159.5</v>
      </c>
      <c r="D75" s="10"/>
      <c r="E75" s="10"/>
      <c r="F75" s="10">
        <v>158.4</v>
      </c>
      <c r="G75" s="10"/>
      <c r="H75" s="10"/>
      <c r="I75" s="10"/>
      <c r="J75" s="10"/>
      <c r="K75" s="10">
        <v>1.1000000000000001</v>
      </c>
    </row>
    <row r="76" spans="1:11" ht="25.5" x14ac:dyDescent="0.2">
      <c r="A76" s="7">
        <v>34</v>
      </c>
      <c r="B76" s="13" t="s">
        <v>34</v>
      </c>
      <c r="C76" s="9">
        <f>+C77</f>
        <v>1646.3</v>
      </c>
      <c r="D76" s="10">
        <f t="shared" ref="D76:H76" si="66">+D77</f>
        <v>0</v>
      </c>
      <c r="E76" s="10">
        <f t="shared" si="66"/>
        <v>0</v>
      </c>
      <c r="F76" s="9">
        <f t="shared" si="66"/>
        <v>1574.5</v>
      </c>
      <c r="G76" s="10">
        <f t="shared" si="66"/>
        <v>59.2</v>
      </c>
      <c r="H76" s="10">
        <f t="shared" si="66"/>
        <v>0</v>
      </c>
      <c r="I76" s="10"/>
      <c r="J76" s="10">
        <f t="shared" ref="J76:K76" si="67">+J77</f>
        <v>0</v>
      </c>
      <c r="K76" s="10">
        <f t="shared" si="67"/>
        <v>12.6</v>
      </c>
    </row>
    <row r="77" spans="1:11" ht="13.5" customHeight="1" x14ac:dyDescent="0.2">
      <c r="A77" s="11" t="s">
        <v>110</v>
      </c>
      <c r="B77" s="12" t="s">
        <v>57</v>
      </c>
      <c r="C77" s="9">
        <f>+D77+E77+F77+G77+H77+J77+K77</f>
        <v>1646.3</v>
      </c>
      <c r="D77" s="10"/>
      <c r="E77" s="10"/>
      <c r="F77" s="9">
        <f>1572.1+2.4</f>
        <v>1574.5</v>
      </c>
      <c r="G77" s="10">
        <v>59.2</v>
      </c>
      <c r="H77" s="10"/>
      <c r="I77" s="10"/>
      <c r="J77" s="10"/>
      <c r="K77" s="10">
        <f>10.6+2</f>
        <v>12.6</v>
      </c>
    </row>
    <row r="78" spans="1:11" ht="13.5" customHeight="1" x14ac:dyDescent="0.2">
      <c r="A78" s="7">
        <v>35</v>
      </c>
      <c r="B78" s="8" t="s">
        <v>35</v>
      </c>
      <c r="C78" s="9">
        <f>+C79</f>
        <v>903.3</v>
      </c>
      <c r="D78" s="10">
        <f t="shared" ref="D78:I78" si="68">+D79</f>
        <v>0</v>
      </c>
      <c r="E78" s="10">
        <f t="shared" si="68"/>
        <v>0</v>
      </c>
      <c r="F78" s="10">
        <f t="shared" si="68"/>
        <v>829</v>
      </c>
      <c r="G78" s="10">
        <f t="shared" si="68"/>
        <v>0</v>
      </c>
      <c r="H78" s="10">
        <f t="shared" si="68"/>
        <v>7.3</v>
      </c>
      <c r="I78" s="10">
        <f t="shared" si="68"/>
        <v>1.3</v>
      </c>
      <c r="J78" s="10">
        <f t="shared" ref="J78:K78" si="69">+J79</f>
        <v>0</v>
      </c>
      <c r="K78" s="10">
        <f t="shared" si="69"/>
        <v>65.7</v>
      </c>
    </row>
    <row r="79" spans="1:11" ht="13.5" customHeight="1" x14ac:dyDescent="0.2">
      <c r="A79" s="11" t="s">
        <v>111</v>
      </c>
      <c r="B79" s="12" t="s">
        <v>57</v>
      </c>
      <c r="C79" s="9">
        <f>+D79+E79+F79+G79+H79+J79+K79+I79</f>
        <v>903.3</v>
      </c>
      <c r="D79" s="10"/>
      <c r="E79" s="10"/>
      <c r="F79" s="10">
        <f>816.6+7.8+4.6</f>
        <v>829</v>
      </c>
      <c r="G79" s="10"/>
      <c r="H79" s="10">
        <v>7.3</v>
      </c>
      <c r="I79" s="10">
        <v>1.3</v>
      </c>
      <c r="J79" s="10"/>
      <c r="K79" s="10">
        <v>65.7</v>
      </c>
    </row>
    <row r="80" spans="1:11" ht="25.5" x14ac:dyDescent="0.2">
      <c r="A80" s="7">
        <v>36</v>
      </c>
      <c r="B80" s="13" t="s">
        <v>36</v>
      </c>
      <c r="C80" s="9">
        <f>+C81</f>
        <v>1696.4</v>
      </c>
      <c r="D80" s="10">
        <f t="shared" ref="D80:H80" si="70">+D81</f>
        <v>1586.7</v>
      </c>
      <c r="E80" s="10">
        <f t="shared" si="70"/>
        <v>0</v>
      </c>
      <c r="F80" s="10">
        <f t="shared" si="70"/>
        <v>107.7</v>
      </c>
      <c r="G80" s="10">
        <f t="shared" si="70"/>
        <v>0</v>
      </c>
      <c r="H80" s="10">
        <f t="shared" si="70"/>
        <v>0</v>
      </c>
      <c r="I80" s="10"/>
      <c r="J80" s="10">
        <f t="shared" ref="J80:K80" si="71">+J81</f>
        <v>0</v>
      </c>
      <c r="K80" s="10">
        <f t="shared" si="71"/>
        <v>2</v>
      </c>
    </row>
    <row r="81" spans="1:11" ht="13.5" customHeight="1" x14ac:dyDescent="0.2">
      <c r="A81" s="11" t="s">
        <v>112</v>
      </c>
      <c r="B81" s="12" t="s">
        <v>58</v>
      </c>
      <c r="C81" s="9">
        <f>+D81+E81+F81+G81+H81+J81+K81</f>
        <v>1696.4</v>
      </c>
      <c r="D81" s="10">
        <v>1586.7</v>
      </c>
      <c r="E81" s="10"/>
      <c r="F81" s="10">
        <v>107.7</v>
      </c>
      <c r="G81" s="10"/>
      <c r="H81" s="10"/>
      <c r="I81" s="10"/>
      <c r="J81" s="10"/>
      <c r="K81" s="10">
        <v>2</v>
      </c>
    </row>
    <row r="82" spans="1:11" ht="13.5" customHeight="1" x14ac:dyDescent="0.2">
      <c r="A82" s="7">
        <v>37</v>
      </c>
      <c r="B82" s="15" t="s">
        <v>37</v>
      </c>
      <c r="C82" s="9">
        <f>+C83</f>
        <v>2605.6000000000004</v>
      </c>
      <c r="D82" s="10">
        <f t="shared" ref="D82:I82" si="72">+D83</f>
        <v>540</v>
      </c>
      <c r="E82" s="10">
        <f t="shared" si="72"/>
        <v>0</v>
      </c>
      <c r="F82" s="9">
        <f t="shared" si="72"/>
        <v>1675.4</v>
      </c>
      <c r="G82" s="10">
        <f t="shared" si="72"/>
        <v>28.4</v>
      </c>
      <c r="H82" s="10">
        <f t="shared" si="72"/>
        <v>159</v>
      </c>
      <c r="I82" s="10">
        <f t="shared" si="72"/>
        <v>38</v>
      </c>
      <c r="J82" s="10">
        <f t="shared" ref="J82:K82" si="73">+J83</f>
        <v>0</v>
      </c>
      <c r="K82" s="10">
        <f t="shared" si="73"/>
        <v>164.8</v>
      </c>
    </row>
    <row r="83" spans="1:11" ht="13.5" customHeight="1" x14ac:dyDescent="0.2">
      <c r="A83" s="11" t="s">
        <v>113</v>
      </c>
      <c r="B83" s="12" t="s">
        <v>58</v>
      </c>
      <c r="C83" s="9">
        <f>+D83+E83+F83+G83+H83+J83+K83+I83</f>
        <v>2605.6000000000004</v>
      </c>
      <c r="D83" s="10">
        <f>500+40</f>
        <v>540</v>
      </c>
      <c r="E83" s="10"/>
      <c r="F83" s="9">
        <f>1662.7+12.7</f>
        <v>1675.4</v>
      </c>
      <c r="G83" s="10">
        <v>28.4</v>
      </c>
      <c r="H83" s="10">
        <v>159</v>
      </c>
      <c r="I83" s="10">
        <v>38</v>
      </c>
      <c r="J83" s="10"/>
      <c r="K83" s="10">
        <v>164.8</v>
      </c>
    </row>
    <row r="84" spans="1:11" ht="13.5" customHeight="1" x14ac:dyDescent="0.2">
      <c r="A84" s="7">
        <v>38</v>
      </c>
      <c r="B84" s="8" t="s">
        <v>38</v>
      </c>
      <c r="C84" s="9">
        <f>+C85</f>
        <v>1246.9000000000001</v>
      </c>
      <c r="D84" s="10">
        <f t="shared" ref="D84:H84" si="74">+D85</f>
        <v>246</v>
      </c>
      <c r="E84" s="10">
        <f t="shared" si="74"/>
        <v>0</v>
      </c>
      <c r="F84" s="10">
        <f t="shared" si="74"/>
        <v>384.6</v>
      </c>
      <c r="G84" s="10">
        <f t="shared" si="74"/>
        <v>10.1</v>
      </c>
      <c r="H84" s="10">
        <f t="shared" si="74"/>
        <v>0</v>
      </c>
      <c r="I84" s="10"/>
      <c r="J84" s="10">
        <f t="shared" ref="J84:K84" si="75">+J85</f>
        <v>0</v>
      </c>
      <c r="K84" s="10">
        <f t="shared" si="75"/>
        <v>606.20000000000005</v>
      </c>
    </row>
    <row r="85" spans="1:11" ht="13.5" customHeight="1" x14ac:dyDescent="0.2">
      <c r="A85" s="11" t="s">
        <v>114</v>
      </c>
      <c r="B85" s="12" t="s">
        <v>58</v>
      </c>
      <c r="C85" s="9">
        <f>+D85+E85+F85+G85+H85+J85+K85</f>
        <v>1246.9000000000001</v>
      </c>
      <c r="D85" s="10">
        <f>200+46</f>
        <v>246</v>
      </c>
      <c r="E85" s="10"/>
      <c r="F85" s="10">
        <v>384.6</v>
      </c>
      <c r="G85" s="10">
        <v>10.1</v>
      </c>
      <c r="H85" s="10"/>
      <c r="I85" s="10"/>
      <c r="J85" s="10"/>
      <c r="K85" s="10">
        <f>556.2+50</f>
        <v>606.20000000000005</v>
      </c>
    </row>
    <row r="86" spans="1:11" ht="13.5" customHeight="1" x14ac:dyDescent="0.2">
      <c r="A86" s="7">
        <v>39</v>
      </c>
      <c r="B86" s="8" t="s">
        <v>39</v>
      </c>
      <c r="C86" s="9">
        <f>+C87+C88</f>
        <v>1495.4</v>
      </c>
      <c r="D86" s="10">
        <f t="shared" ref="D86:K86" si="76">+D87+D88</f>
        <v>170</v>
      </c>
      <c r="E86" s="10">
        <f t="shared" si="76"/>
        <v>168.5</v>
      </c>
      <c r="F86" s="10">
        <f t="shared" si="76"/>
        <v>685.3</v>
      </c>
      <c r="G86" s="10">
        <f t="shared" si="76"/>
        <v>14</v>
      </c>
      <c r="H86" s="10">
        <f t="shared" si="76"/>
        <v>0</v>
      </c>
      <c r="I86" s="10"/>
      <c r="J86" s="10">
        <f t="shared" si="76"/>
        <v>0</v>
      </c>
      <c r="K86" s="10">
        <f t="shared" si="76"/>
        <v>457.59999999999997</v>
      </c>
    </row>
    <row r="87" spans="1:11" ht="13.5" customHeight="1" x14ac:dyDescent="0.2">
      <c r="A87" s="11" t="s">
        <v>116</v>
      </c>
      <c r="B87" s="12" t="s">
        <v>57</v>
      </c>
      <c r="C87" s="9">
        <f>+D87+E87+F87+G87+H87+J87+K87</f>
        <v>398.7</v>
      </c>
      <c r="D87" s="10"/>
      <c r="E87" s="10">
        <f>160.3+8.2</f>
        <v>168.5</v>
      </c>
      <c r="F87" s="10">
        <v>203.8</v>
      </c>
      <c r="G87" s="10">
        <v>2</v>
      </c>
      <c r="H87" s="10"/>
      <c r="I87" s="10"/>
      <c r="J87" s="10"/>
      <c r="K87" s="10">
        <v>24.4</v>
      </c>
    </row>
    <row r="88" spans="1:11" ht="13.5" customHeight="1" x14ac:dyDescent="0.2">
      <c r="A88" s="11" t="s">
        <v>117</v>
      </c>
      <c r="B88" s="12" t="s">
        <v>58</v>
      </c>
      <c r="C88" s="9">
        <f>+D88+E88+F88+G88+H88+J88+K88</f>
        <v>1096.7</v>
      </c>
      <c r="D88" s="10">
        <f>138+32</f>
        <v>170</v>
      </c>
      <c r="E88" s="10"/>
      <c r="F88" s="10">
        <v>481.5</v>
      </c>
      <c r="G88" s="10">
        <v>12</v>
      </c>
      <c r="H88" s="10"/>
      <c r="I88" s="10"/>
      <c r="J88" s="10"/>
      <c r="K88" s="10">
        <f>343.2+90</f>
        <v>433.2</v>
      </c>
    </row>
    <row r="89" spans="1:11" ht="13.5" customHeight="1" x14ac:dyDescent="0.2">
      <c r="A89" s="7">
        <v>40</v>
      </c>
      <c r="B89" s="8" t="s">
        <v>40</v>
      </c>
      <c r="C89" s="9">
        <f>+C90+C91</f>
        <v>1603.3999999999999</v>
      </c>
      <c r="D89" s="10">
        <f t="shared" ref="D89:H89" si="77">+D90+D91</f>
        <v>247</v>
      </c>
      <c r="E89" s="10">
        <f t="shared" si="77"/>
        <v>145.9</v>
      </c>
      <c r="F89" s="10">
        <f t="shared" si="77"/>
        <v>682.3</v>
      </c>
      <c r="G89" s="10">
        <f t="shared" si="77"/>
        <v>11.200000000000001</v>
      </c>
      <c r="H89" s="10">
        <f t="shared" si="77"/>
        <v>0</v>
      </c>
      <c r="I89" s="10"/>
      <c r="J89" s="10">
        <f t="shared" ref="J89:K89" si="78">+J90+J91</f>
        <v>0</v>
      </c>
      <c r="K89" s="10">
        <f t="shared" si="78"/>
        <v>517</v>
      </c>
    </row>
    <row r="90" spans="1:11" ht="13.5" customHeight="1" x14ac:dyDescent="0.2">
      <c r="A90" s="11" t="s">
        <v>118</v>
      </c>
      <c r="B90" s="12" t="s">
        <v>57</v>
      </c>
      <c r="C90" s="9">
        <f>+D90+E90+F90+G90+H90+J90+K90</f>
        <v>349.59999999999997</v>
      </c>
      <c r="D90" s="10"/>
      <c r="E90" s="10">
        <f>144.9+1</f>
        <v>145.9</v>
      </c>
      <c r="F90" s="10">
        <v>190.6</v>
      </c>
      <c r="G90" s="10">
        <v>1.4</v>
      </c>
      <c r="H90" s="10"/>
      <c r="I90" s="10"/>
      <c r="J90" s="10"/>
      <c r="K90" s="10">
        <v>11.7</v>
      </c>
    </row>
    <row r="91" spans="1:11" ht="13.5" customHeight="1" x14ac:dyDescent="0.2">
      <c r="A91" s="11" t="s">
        <v>119</v>
      </c>
      <c r="B91" s="12" t="s">
        <v>58</v>
      </c>
      <c r="C91" s="9">
        <f>+D91+E91+F91+G91+H91+J91+K91</f>
        <v>1253.8</v>
      </c>
      <c r="D91" s="10">
        <f>180+67</f>
        <v>247</v>
      </c>
      <c r="E91" s="10"/>
      <c r="F91" s="10">
        <v>491.7</v>
      </c>
      <c r="G91" s="10">
        <v>9.8000000000000007</v>
      </c>
      <c r="H91" s="10"/>
      <c r="I91" s="10"/>
      <c r="J91" s="10"/>
      <c r="K91" s="10">
        <f>485.3+20</f>
        <v>505.3</v>
      </c>
    </row>
    <row r="92" spans="1:11" ht="13.5" customHeight="1" x14ac:dyDescent="0.2">
      <c r="A92" s="7">
        <v>41</v>
      </c>
      <c r="B92" s="8" t="s">
        <v>41</v>
      </c>
      <c r="C92" s="9">
        <f>+C93</f>
        <v>3134.2000000000003</v>
      </c>
      <c r="D92" s="9">
        <f t="shared" ref="D92:H92" si="79">+D93</f>
        <v>1074.5</v>
      </c>
      <c r="E92" s="10">
        <f t="shared" si="79"/>
        <v>0</v>
      </c>
      <c r="F92" s="9">
        <f t="shared" si="79"/>
        <v>1772.6000000000001</v>
      </c>
      <c r="G92" s="10">
        <f t="shared" si="79"/>
        <v>101.9</v>
      </c>
      <c r="H92" s="10">
        <f t="shared" si="79"/>
        <v>178</v>
      </c>
      <c r="I92" s="10"/>
      <c r="J92" s="10">
        <f t="shared" ref="J92:K92" si="80">+J93</f>
        <v>0</v>
      </c>
      <c r="K92" s="10">
        <f t="shared" si="80"/>
        <v>7.1999999999999993</v>
      </c>
    </row>
    <row r="93" spans="1:11" ht="13.5" customHeight="1" x14ac:dyDescent="0.2">
      <c r="A93" s="11" t="s">
        <v>103</v>
      </c>
      <c r="B93" s="12" t="s">
        <v>58</v>
      </c>
      <c r="C93" s="9">
        <f>+D93+E93+F93+G93+H93+J93+K93</f>
        <v>3134.2000000000003</v>
      </c>
      <c r="D93" s="9">
        <f>1100.6-26.1</f>
        <v>1074.5</v>
      </c>
      <c r="E93" s="10"/>
      <c r="F93" s="9">
        <f>1797.2-24.6</f>
        <v>1772.6000000000001</v>
      </c>
      <c r="G93" s="10">
        <f>101.2+0.7</f>
        <v>101.9</v>
      </c>
      <c r="H93" s="10">
        <v>178</v>
      </c>
      <c r="I93" s="10"/>
      <c r="J93" s="10"/>
      <c r="K93" s="10">
        <f>12.7-5.5</f>
        <v>7.1999999999999993</v>
      </c>
    </row>
    <row r="94" spans="1:11" ht="25.5" x14ac:dyDescent="0.2">
      <c r="A94" s="7">
        <v>42</v>
      </c>
      <c r="B94" s="13" t="s">
        <v>42</v>
      </c>
      <c r="C94" s="9">
        <f>+C95</f>
        <v>856.40000000000009</v>
      </c>
      <c r="D94" s="10">
        <f t="shared" ref="D94:I94" si="81">+D95</f>
        <v>528.6</v>
      </c>
      <c r="E94" s="10">
        <f t="shared" si="81"/>
        <v>0</v>
      </c>
      <c r="F94" s="10">
        <f t="shared" si="81"/>
        <v>145.80000000000001</v>
      </c>
      <c r="G94" s="10">
        <f t="shared" si="81"/>
        <v>0</v>
      </c>
      <c r="H94" s="10">
        <f t="shared" si="81"/>
        <v>144.30000000000001</v>
      </c>
      <c r="I94" s="10">
        <f t="shared" si="81"/>
        <v>29.5</v>
      </c>
      <c r="J94" s="10">
        <f t="shared" ref="J94:K94" si="82">+J95</f>
        <v>0</v>
      </c>
      <c r="K94" s="10">
        <f t="shared" si="82"/>
        <v>8.1999999999999993</v>
      </c>
    </row>
    <row r="95" spans="1:11" ht="13.5" customHeight="1" x14ac:dyDescent="0.2">
      <c r="A95" s="11" t="s">
        <v>120</v>
      </c>
      <c r="B95" s="12" t="s">
        <v>58</v>
      </c>
      <c r="C95" s="9">
        <f>+D95+E95+F95+G95+H95+J95+K95+I95</f>
        <v>856.40000000000009</v>
      </c>
      <c r="D95" s="10">
        <v>528.6</v>
      </c>
      <c r="E95" s="10"/>
      <c r="F95" s="10">
        <v>145.80000000000001</v>
      </c>
      <c r="G95" s="10"/>
      <c r="H95" s="10">
        <v>144.30000000000001</v>
      </c>
      <c r="I95" s="10">
        <v>29.5</v>
      </c>
      <c r="J95" s="10"/>
      <c r="K95" s="10">
        <v>8.1999999999999993</v>
      </c>
    </row>
    <row r="96" spans="1:11" ht="25.5" x14ac:dyDescent="0.2">
      <c r="A96" s="7">
        <v>43</v>
      </c>
      <c r="B96" s="15" t="s">
        <v>55</v>
      </c>
      <c r="C96" s="9">
        <f>+C97</f>
        <v>215.6</v>
      </c>
      <c r="D96" s="10">
        <f t="shared" ref="D96:H96" si="83">+D97</f>
        <v>0</v>
      </c>
      <c r="E96" s="10">
        <f t="shared" si="83"/>
        <v>0</v>
      </c>
      <c r="F96" s="10">
        <f t="shared" si="83"/>
        <v>215.6</v>
      </c>
      <c r="G96" s="10">
        <f t="shared" si="83"/>
        <v>0</v>
      </c>
      <c r="H96" s="10">
        <f t="shared" si="83"/>
        <v>0</v>
      </c>
      <c r="I96" s="10"/>
      <c r="J96" s="10">
        <f t="shared" ref="J96:K96" si="84">+J97</f>
        <v>0</v>
      </c>
      <c r="K96" s="10">
        <f t="shared" si="84"/>
        <v>0</v>
      </c>
    </row>
    <row r="97" spans="1:11" ht="13.5" customHeight="1" x14ac:dyDescent="0.2">
      <c r="A97" s="11" t="s">
        <v>121</v>
      </c>
      <c r="B97" s="16" t="s">
        <v>61</v>
      </c>
      <c r="C97" s="9">
        <f>+D97+E97+F97+G97+H97+J97+K97</f>
        <v>215.6</v>
      </c>
      <c r="D97" s="10"/>
      <c r="E97" s="10"/>
      <c r="F97" s="10">
        <f>208.9+6.7</f>
        <v>215.6</v>
      </c>
      <c r="G97" s="10"/>
      <c r="H97" s="10"/>
      <c r="I97" s="10"/>
      <c r="J97" s="10"/>
      <c r="K97" s="10"/>
    </row>
    <row r="98" spans="1:11" x14ac:dyDescent="0.2">
      <c r="A98" s="7">
        <v>44</v>
      </c>
      <c r="B98" s="17" t="s">
        <v>43</v>
      </c>
      <c r="C98" s="9">
        <f>+C99+C100+C101+C102+C103</f>
        <v>48151.200000000004</v>
      </c>
      <c r="D98" s="10">
        <f t="shared" ref="D98:K98" si="85">+D99+D100+D101+D102+D103</f>
        <v>2941.5</v>
      </c>
      <c r="E98" s="10">
        <f t="shared" si="85"/>
        <v>0</v>
      </c>
      <c r="F98" s="9">
        <f t="shared" si="85"/>
        <v>30087.7</v>
      </c>
      <c r="G98" s="9">
        <f t="shared" si="85"/>
        <v>7745.1</v>
      </c>
      <c r="H98" s="9">
        <f t="shared" si="85"/>
        <v>3710.9000000000005</v>
      </c>
      <c r="I98" s="10">
        <f t="shared" si="85"/>
        <v>582.30000000000007</v>
      </c>
      <c r="J98" s="9">
        <f t="shared" si="85"/>
        <v>3065.8</v>
      </c>
      <c r="K98" s="10">
        <f t="shared" si="85"/>
        <v>17.899999999999999</v>
      </c>
    </row>
    <row r="99" spans="1:11" ht="13.5" customHeight="1" x14ac:dyDescent="0.2">
      <c r="A99" s="11" t="s">
        <v>122</v>
      </c>
      <c r="B99" s="12" t="s">
        <v>57</v>
      </c>
      <c r="C99" s="9">
        <f>+D99+E99+F99+G99+H99+J99+K99+I99</f>
        <v>7098.2000000000007</v>
      </c>
      <c r="D99" s="10"/>
      <c r="E99" s="10"/>
      <c r="F99" s="9">
        <f>5569.3+9+1-116.4-43.2-81.2</f>
        <v>5338.5000000000009</v>
      </c>
      <c r="G99" s="10">
        <f>8.6+31.4</f>
        <v>40</v>
      </c>
      <c r="H99" s="9">
        <f>1992-140-505</f>
        <v>1347</v>
      </c>
      <c r="I99" s="10">
        <f>638.7-266</f>
        <v>372.70000000000005</v>
      </c>
      <c r="J99" s="10"/>
      <c r="K99" s="10"/>
    </row>
    <row r="100" spans="1:11" ht="13.5" customHeight="1" x14ac:dyDescent="0.2">
      <c r="A100" s="11" t="s">
        <v>124</v>
      </c>
      <c r="B100" s="12" t="s">
        <v>58</v>
      </c>
      <c r="C100" s="9">
        <f>+D100+E100+F100+G100+H100+J100+K100+I100</f>
        <v>11776.5</v>
      </c>
      <c r="D100" s="9">
        <f>1970.8+30+49.3+6.4-15.9+6-36-4+162.4+2.7+65-29.1</f>
        <v>2207.6</v>
      </c>
      <c r="E100" s="10"/>
      <c r="F100" s="9">
        <f>6543.3+69.2+154+401-50-80.5-106.5</f>
        <v>6930.5</v>
      </c>
      <c r="G100" s="10">
        <f>344.4+131.6+60.3+1.3-19-1.1+370-44.2-5.1+940.2</f>
        <v>1778.3999999999999</v>
      </c>
      <c r="H100" s="9">
        <f>1957.8+40+77-246.1-1167.3</f>
        <v>661.40000000000032</v>
      </c>
      <c r="I100" s="10">
        <f>173+323-297.4</f>
        <v>198.60000000000002</v>
      </c>
      <c r="J100" s="10"/>
      <c r="K100" s="10"/>
    </row>
    <row r="101" spans="1:11" ht="13.5" customHeight="1" x14ac:dyDescent="0.2">
      <c r="A101" s="11" t="s">
        <v>123</v>
      </c>
      <c r="B101" s="12" t="s">
        <v>59</v>
      </c>
      <c r="C101" s="9">
        <f t="shared" ref="C101:C158" si="86">+D101+E101+F101+G101+H101+J101+K101+I101</f>
        <v>14462.599999999999</v>
      </c>
      <c r="D101" s="10"/>
      <c r="E101" s="10"/>
      <c r="F101" s="9">
        <f>8413.4-14-76+211+23.4</f>
        <v>8557.7999999999993</v>
      </c>
      <c r="G101" s="9">
        <f>3000+276.2+14.1+42</f>
        <v>3332.2999999999997</v>
      </c>
      <c r="H101" s="9">
        <f>1472.5+100</f>
        <v>1572.5</v>
      </c>
      <c r="I101" s="10"/>
      <c r="J101" s="9">
        <v>1000</v>
      </c>
      <c r="K101" s="10"/>
    </row>
    <row r="102" spans="1:11" ht="13.5" customHeight="1" x14ac:dyDescent="0.2">
      <c r="A102" s="11" t="s">
        <v>125</v>
      </c>
      <c r="B102" s="12" t="s">
        <v>60</v>
      </c>
      <c r="C102" s="9">
        <f t="shared" si="86"/>
        <v>4818.0999999999995</v>
      </c>
      <c r="D102" s="10">
        <v>503</v>
      </c>
      <c r="E102" s="10"/>
      <c r="F102" s="9">
        <f>1660.6-9-1-15+11.9</f>
        <v>1647.5</v>
      </c>
      <c r="G102" s="9">
        <f>1064+1530.4</f>
        <v>2594.4</v>
      </c>
      <c r="H102" s="10">
        <f>142.2-80</f>
        <v>62.199999999999989</v>
      </c>
      <c r="I102" s="10">
        <f>11+1530.4-1530.4</f>
        <v>11</v>
      </c>
      <c r="J102" s="9"/>
      <c r="K102" s="10"/>
    </row>
    <row r="103" spans="1:11" ht="13.5" customHeight="1" x14ac:dyDescent="0.2">
      <c r="A103" s="11" t="s">
        <v>126</v>
      </c>
      <c r="B103" s="16" t="s">
        <v>61</v>
      </c>
      <c r="C103" s="9">
        <f t="shared" si="86"/>
        <v>9995.8000000000011</v>
      </c>
      <c r="D103" s="10">
        <f>312.8-2.6-30-49.3</f>
        <v>230.89999999999998</v>
      </c>
      <c r="E103" s="10"/>
      <c r="F103" s="9">
        <f>7558.6+20+20-69.2+55.1+50-21.1</f>
        <v>7613.4000000000005</v>
      </c>
      <c r="G103" s="10"/>
      <c r="H103" s="10">
        <f>67.8</f>
        <v>67.8</v>
      </c>
      <c r="I103" s="10"/>
      <c r="J103" s="10">
        <v>2065.8000000000002</v>
      </c>
      <c r="K103" s="10">
        <v>17.899999999999999</v>
      </c>
    </row>
    <row r="104" spans="1:11" ht="25.5" x14ac:dyDescent="0.2">
      <c r="A104" s="7">
        <v>45</v>
      </c>
      <c r="B104" s="13" t="s">
        <v>44</v>
      </c>
      <c r="C104" s="9">
        <f>+C105+C106+C107</f>
        <v>4499.3</v>
      </c>
      <c r="D104" s="10">
        <f t="shared" ref="D104:K104" si="87">+D105+D106+D107</f>
        <v>167.70000000000005</v>
      </c>
      <c r="E104" s="10">
        <f t="shared" si="87"/>
        <v>0</v>
      </c>
      <c r="F104" s="10">
        <f t="shared" si="87"/>
        <v>4304.3</v>
      </c>
      <c r="G104" s="10">
        <f t="shared" si="87"/>
        <v>0</v>
      </c>
      <c r="H104" s="10">
        <f t="shared" si="87"/>
        <v>0</v>
      </c>
      <c r="I104" s="10">
        <f t="shared" si="87"/>
        <v>0</v>
      </c>
      <c r="J104" s="10">
        <f t="shared" si="87"/>
        <v>0</v>
      </c>
      <c r="K104" s="10">
        <f t="shared" si="87"/>
        <v>27.3</v>
      </c>
    </row>
    <row r="105" spans="1:11" ht="13.5" customHeight="1" x14ac:dyDescent="0.2">
      <c r="A105" s="11" t="s">
        <v>127</v>
      </c>
      <c r="B105" s="12" t="s">
        <v>58</v>
      </c>
      <c r="C105" s="9">
        <f t="shared" si="86"/>
        <v>1574</v>
      </c>
      <c r="D105" s="10">
        <f>260-18.1-5.2-76.3-2.7+5.1</f>
        <v>162.80000000000004</v>
      </c>
      <c r="E105" s="10"/>
      <c r="F105" s="10">
        <f>1486-32.5-42.3</f>
        <v>1411.2</v>
      </c>
      <c r="G105" s="10"/>
      <c r="H105" s="10"/>
      <c r="I105" s="10"/>
      <c r="J105" s="10"/>
      <c r="K105" s="10"/>
    </row>
    <row r="106" spans="1:11" ht="13.5" customHeight="1" x14ac:dyDescent="0.2">
      <c r="A106" s="11" t="s">
        <v>128</v>
      </c>
      <c r="B106" s="12" t="s">
        <v>59</v>
      </c>
      <c r="C106" s="9">
        <f t="shared" si="86"/>
        <v>2639.1</v>
      </c>
      <c r="D106" s="10"/>
      <c r="E106" s="10"/>
      <c r="F106" s="10">
        <v>2639.1</v>
      </c>
      <c r="G106" s="10"/>
      <c r="H106" s="10"/>
      <c r="I106" s="10"/>
      <c r="J106" s="10"/>
      <c r="K106" s="10"/>
    </row>
    <row r="107" spans="1:11" ht="13.5" customHeight="1" x14ac:dyDescent="0.2">
      <c r="A107" s="11" t="s">
        <v>129</v>
      </c>
      <c r="B107" s="16" t="s">
        <v>61</v>
      </c>
      <c r="C107" s="9">
        <f t="shared" si="86"/>
        <v>286.2</v>
      </c>
      <c r="D107" s="10">
        <v>4.9000000000000004</v>
      </c>
      <c r="E107" s="10"/>
      <c r="F107" s="10">
        <v>254</v>
      </c>
      <c r="G107" s="10"/>
      <c r="H107" s="10"/>
      <c r="I107" s="10"/>
      <c r="J107" s="10"/>
      <c r="K107" s="10">
        <v>27.3</v>
      </c>
    </row>
    <row r="108" spans="1:11" ht="25.5" x14ac:dyDescent="0.2">
      <c r="A108" s="7">
        <v>46</v>
      </c>
      <c r="B108" s="13" t="s">
        <v>45</v>
      </c>
      <c r="C108" s="9">
        <f>+C109+C110+C111+C112</f>
        <v>669.9</v>
      </c>
      <c r="D108" s="10">
        <f t="shared" ref="D108:K108" si="88">+D109+D110+D111+D112</f>
        <v>56.1</v>
      </c>
      <c r="E108" s="10">
        <f t="shared" si="88"/>
        <v>0</v>
      </c>
      <c r="F108" s="10">
        <f t="shared" si="88"/>
        <v>610</v>
      </c>
      <c r="G108" s="10">
        <f t="shared" si="88"/>
        <v>0</v>
      </c>
      <c r="H108" s="10">
        <f t="shared" si="88"/>
        <v>0</v>
      </c>
      <c r="I108" s="10">
        <f t="shared" si="88"/>
        <v>0</v>
      </c>
      <c r="J108" s="10">
        <f t="shared" si="88"/>
        <v>0</v>
      </c>
      <c r="K108" s="10">
        <f t="shared" si="88"/>
        <v>3.8</v>
      </c>
    </row>
    <row r="109" spans="1:11" ht="13.5" customHeight="1" x14ac:dyDescent="0.2">
      <c r="A109" s="11" t="s">
        <v>130</v>
      </c>
      <c r="B109" s="12" t="s">
        <v>58</v>
      </c>
      <c r="C109" s="9">
        <f t="shared" si="86"/>
        <v>339.09999999999997</v>
      </c>
      <c r="D109" s="10">
        <f>56.5+8-3-24+4</f>
        <v>41.5</v>
      </c>
      <c r="E109" s="10"/>
      <c r="F109" s="10">
        <f>341.4-39-4.8</f>
        <v>297.59999999999997</v>
      </c>
      <c r="G109" s="10"/>
      <c r="H109" s="10"/>
      <c r="I109" s="10"/>
      <c r="J109" s="10"/>
      <c r="K109" s="10"/>
    </row>
    <row r="110" spans="1:11" ht="13.5" customHeight="1" x14ac:dyDescent="0.2">
      <c r="A110" s="11" t="s">
        <v>131</v>
      </c>
      <c r="B110" s="12" t="s">
        <v>59</v>
      </c>
      <c r="C110" s="9">
        <f t="shared" si="86"/>
        <v>216.39999999999998</v>
      </c>
      <c r="D110" s="10"/>
      <c r="E110" s="10"/>
      <c r="F110" s="10">
        <f>218.7-2.3</f>
        <v>216.39999999999998</v>
      </c>
      <c r="G110" s="10"/>
      <c r="H110" s="10"/>
      <c r="I110" s="10"/>
      <c r="J110" s="10"/>
      <c r="K110" s="10"/>
    </row>
    <row r="111" spans="1:11" ht="13.5" customHeight="1" x14ac:dyDescent="0.2">
      <c r="A111" s="11" t="s">
        <v>132</v>
      </c>
      <c r="B111" s="12" t="s">
        <v>60</v>
      </c>
      <c r="C111" s="9">
        <f t="shared" si="86"/>
        <v>14.6</v>
      </c>
      <c r="D111" s="10">
        <v>14.6</v>
      </c>
      <c r="E111" s="10"/>
      <c r="F111" s="10"/>
      <c r="G111" s="10"/>
      <c r="H111" s="10"/>
      <c r="I111" s="10"/>
      <c r="J111" s="10"/>
      <c r="K111" s="10"/>
    </row>
    <row r="112" spans="1:11" ht="13.5" customHeight="1" x14ac:dyDescent="0.2">
      <c r="A112" s="11" t="s">
        <v>133</v>
      </c>
      <c r="B112" s="16" t="s">
        <v>61</v>
      </c>
      <c r="C112" s="9">
        <f t="shared" si="86"/>
        <v>99.8</v>
      </c>
      <c r="D112" s="10"/>
      <c r="E112" s="10"/>
      <c r="F112" s="10">
        <f>89.5+6.5</f>
        <v>96</v>
      </c>
      <c r="G112" s="10"/>
      <c r="H112" s="10"/>
      <c r="I112" s="10"/>
      <c r="J112" s="10"/>
      <c r="K112" s="10">
        <v>3.8</v>
      </c>
    </row>
    <row r="113" spans="1:11" ht="25.5" x14ac:dyDescent="0.2">
      <c r="A113" s="7">
        <v>47</v>
      </c>
      <c r="B113" s="13" t="s">
        <v>46</v>
      </c>
      <c r="C113" s="9">
        <f>+C114+C115+C116+C117</f>
        <v>421.9</v>
      </c>
      <c r="D113" s="10">
        <f t="shared" ref="D113:K113" si="89">+D114+D115+D116+D117</f>
        <v>29.400000000000002</v>
      </c>
      <c r="E113" s="10">
        <f t="shared" si="89"/>
        <v>0</v>
      </c>
      <c r="F113" s="10">
        <f t="shared" si="89"/>
        <v>385.4</v>
      </c>
      <c r="G113" s="10">
        <f t="shared" si="89"/>
        <v>0</v>
      </c>
      <c r="H113" s="10">
        <f t="shared" si="89"/>
        <v>0</v>
      </c>
      <c r="I113" s="10">
        <f t="shared" si="89"/>
        <v>0</v>
      </c>
      <c r="J113" s="10">
        <f t="shared" si="89"/>
        <v>0</v>
      </c>
      <c r="K113" s="10">
        <f t="shared" si="89"/>
        <v>7.1000000000000005</v>
      </c>
    </row>
    <row r="114" spans="1:11" ht="13.5" customHeight="1" x14ac:dyDescent="0.2">
      <c r="A114" s="11" t="s">
        <v>134</v>
      </c>
      <c r="B114" s="12" t="s">
        <v>58</v>
      </c>
      <c r="C114" s="9">
        <f t="shared" si="86"/>
        <v>106.39999999999999</v>
      </c>
      <c r="D114" s="10">
        <f>22.1-3.4</f>
        <v>18.700000000000003</v>
      </c>
      <c r="E114" s="10"/>
      <c r="F114" s="10">
        <f>136.2-48.4-0.1</f>
        <v>87.699999999999989</v>
      </c>
      <c r="G114" s="10"/>
      <c r="H114" s="10"/>
      <c r="I114" s="10"/>
      <c r="J114" s="10"/>
      <c r="K114" s="10"/>
    </row>
    <row r="115" spans="1:11" ht="13.5" customHeight="1" x14ac:dyDescent="0.2">
      <c r="A115" s="11" t="s">
        <v>135</v>
      </c>
      <c r="B115" s="12" t="s">
        <v>59</v>
      </c>
      <c r="C115" s="9">
        <f t="shared" si="86"/>
        <v>180.29999999999998</v>
      </c>
      <c r="D115" s="10"/>
      <c r="E115" s="10"/>
      <c r="F115" s="10">
        <f>193.6-15</f>
        <v>178.6</v>
      </c>
      <c r="G115" s="10"/>
      <c r="H115" s="10"/>
      <c r="I115" s="10"/>
      <c r="J115" s="10"/>
      <c r="K115" s="10">
        <v>1.7</v>
      </c>
    </row>
    <row r="116" spans="1:11" ht="13.5" customHeight="1" x14ac:dyDescent="0.2">
      <c r="A116" s="11" t="s">
        <v>136</v>
      </c>
      <c r="B116" s="12" t="s">
        <v>60</v>
      </c>
      <c r="C116" s="9">
        <f t="shared" si="86"/>
        <v>10.7</v>
      </c>
      <c r="D116" s="10">
        <v>10.7</v>
      </c>
      <c r="E116" s="10"/>
      <c r="F116" s="10"/>
      <c r="G116" s="10"/>
      <c r="H116" s="10"/>
      <c r="I116" s="10"/>
      <c r="J116" s="10"/>
      <c r="K116" s="10"/>
    </row>
    <row r="117" spans="1:11" ht="13.5" customHeight="1" x14ac:dyDescent="0.2">
      <c r="A117" s="11" t="s">
        <v>137</v>
      </c>
      <c r="B117" s="16" t="s">
        <v>61</v>
      </c>
      <c r="C117" s="9">
        <f t="shared" si="86"/>
        <v>124.5</v>
      </c>
      <c r="D117" s="10"/>
      <c r="E117" s="10"/>
      <c r="F117" s="10">
        <f>124.1-5</f>
        <v>119.1</v>
      </c>
      <c r="G117" s="10"/>
      <c r="H117" s="10"/>
      <c r="I117" s="10"/>
      <c r="J117" s="10"/>
      <c r="K117" s="10">
        <v>5.4</v>
      </c>
    </row>
    <row r="118" spans="1:11" ht="25.5" x14ac:dyDescent="0.2">
      <c r="A118" s="7">
        <v>48</v>
      </c>
      <c r="B118" s="13" t="s">
        <v>47</v>
      </c>
      <c r="C118" s="9">
        <f>+C119+C120+C121+C122</f>
        <v>416.50000000000006</v>
      </c>
      <c r="D118" s="10">
        <f t="shared" ref="D118:K118" si="90">+D119+D120+D121+D122</f>
        <v>34.5</v>
      </c>
      <c r="E118" s="10">
        <f t="shared" si="90"/>
        <v>0</v>
      </c>
      <c r="F118" s="10">
        <f t="shared" si="90"/>
        <v>364.70000000000005</v>
      </c>
      <c r="G118" s="10">
        <f t="shared" si="90"/>
        <v>0</v>
      </c>
      <c r="H118" s="10">
        <f t="shared" si="90"/>
        <v>0</v>
      </c>
      <c r="I118" s="10">
        <f t="shared" si="90"/>
        <v>0</v>
      </c>
      <c r="J118" s="10">
        <f t="shared" si="90"/>
        <v>0</v>
      </c>
      <c r="K118" s="10">
        <f t="shared" si="90"/>
        <v>17.3</v>
      </c>
    </row>
    <row r="119" spans="1:11" ht="13.5" customHeight="1" x14ac:dyDescent="0.2">
      <c r="A119" s="11" t="s">
        <v>138</v>
      </c>
      <c r="B119" s="12" t="s">
        <v>58</v>
      </c>
      <c r="C119" s="9">
        <f t="shared" si="86"/>
        <v>113.60000000000002</v>
      </c>
      <c r="D119" s="10">
        <f>40.3-11-0.9</f>
        <v>28.4</v>
      </c>
      <c r="E119" s="10"/>
      <c r="F119" s="10">
        <f>143.4-61.6+3.4</f>
        <v>85.200000000000017</v>
      </c>
      <c r="G119" s="10"/>
      <c r="H119" s="10"/>
      <c r="I119" s="10"/>
      <c r="J119" s="10"/>
      <c r="K119" s="10"/>
    </row>
    <row r="120" spans="1:11" ht="13.5" customHeight="1" x14ac:dyDescent="0.2">
      <c r="A120" s="11" t="s">
        <v>139</v>
      </c>
      <c r="B120" s="12" t="s">
        <v>59</v>
      </c>
      <c r="C120" s="9">
        <f t="shared" si="86"/>
        <v>192.3</v>
      </c>
      <c r="D120" s="10"/>
      <c r="E120" s="10"/>
      <c r="F120" s="10">
        <f>189-6</f>
        <v>183</v>
      </c>
      <c r="G120" s="10"/>
      <c r="H120" s="10"/>
      <c r="I120" s="10"/>
      <c r="J120" s="10"/>
      <c r="K120" s="10">
        <v>9.3000000000000007</v>
      </c>
    </row>
    <row r="121" spans="1:11" ht="13.5" customHeight="1" x14ac:dyDescent="0.2">
      <c r="A121" s="11" t="s">
        <v>140</v>
      </c>
      <c r="B121" s="12" t="s">
        <v>60</v>
      </c>
      <c r="C121" s="9">
        <f t="shared" si="86"/>
        <v>6.1</v>
      </c>
      <c r="D121" s="10">
        <v>6.1</v>
      </c>
      <c r="E121" s="10"/>
      <c r="F121" s="10"/>
      <c r="G121" s="10"/>
      <c r="H121" s="10"/>
      <c r="I121" s="10"/>
      <c r="J121" s="10"/>
      <c r="K121" s="10"/>
    </row>
    <row r="122" spans="1:11" ht="13.5" customHeight="1" x14ac:dyDescent="0.2">
      <c r="A122" s="11" t="s">
        <v>141</v>
      </c>
      <c r="B122" s="16" t="s">
        <v>61</v>
      </c>
      <c r="C122" s="9">
        <f t="shared" si="86"/>
        <v>104.5</v>
      </c>
      <c r="D122" s="10"/>
      <c r="E122" s="10"/>
      <c r="F122" s="10">
        <f>93.9+2.6</f>
        <v>96.5</v>
      </c>
      <c r="G122" s="10"/>
      <c r="H122" s="10"/>
      <c r="I122" s="10"/>
      <c r="J122" s="10"/>
      <c r="K122" s="10">
        <v>8</v>
      </c>
    </row>
    <row r="123" spans="1:11" ht="25.5" x14ac:dyDescent="0.2">
      <c r="A123" s="7">
        <v>49</v>
      </c>
      <c r="B123" s="13" t="s">
        <v>48</v>
      </c>
      <c r="C123" s="9">
        <f>+C125+C126+C127+C128+C124</f>
        <v>502.8</v>
      </c>
      <c r="D123" s="10">
        <f t="shared" ref="D123:K123" si="91">+D125+D126+D127+D128+D124</f>
        <v>38.4</v>
      </c>
      <c r="E123" s="10">
        <f t="shared" si="91"/>
        <v>0</v>
      </c>
      <c r="F123" s="10">
        <f t="shared" si="91"/>
        <v>461.7</v>
      </c>
      <c r="G123" s="10">
        <f t="shared" si="91"/>
        <v>0</v>
      </c>
      <c r="H123" s="10">
        <f t="shared" si="91"/>
        <v>0</v>
      </c>
      <c r="I123" s="10">
        <f t="shared" si="91"/>
        <v>0</v>
      </c>
      <c r="J123" s="10">
        <f t="shared" si="91"/>
        <v>0</v>
      </c>
      <c r="K123" s="10">
        <f t="shared" si="91"/>
        <v>2.7</v>
      </c>
    </row>
    <row r="124" spans="1:11" ht="13.5" customHeight="1" x14ac:dyDescent="0.2">
      <c r="A124" s="11" t="s">
        <v>115</v>
      </c>
      <c r="B124" s="12" t="s">
        <v>57</v>
      </c>
      <c r="C124" s="9">
        <f t="shared" si="86"/>
        <v>7.8</v>
      </c>
      <c r="D124" s="10"/>
      <c r="E124" s="10"/>
      <c r="F124" s="10">
        <f>7.1+0.7</f>
        <v>7.8</v>
      </c>
      <c r="G124" s="10"/>
      <c r="H124" s="10"/>
      <c r="I124" s="10"/>
      <c r="J124" s="10"/>
      <c r="K124" s="10"/>
    </row>
    <row r="125" spans="1:11" ht="13.5" customHeight="1" x14ac:dyDescent="0.2">
      <c r="A125" s="11" t="s">
        <v>142</v>
      </c>
      <c r="B125" s="12" t="s">
        <v>58</v>
      </c>
      <c r="C125" s="9">
        <f t="shared" si="86"/>
        <v>210.7</v>
      </c>
      <c r="D125" s="10">
        <f>29.6-5.7-0.1</f>
        <v>23.8</v>
      </c>
      <c r="E125" s="10"/>
      <c r="F125" s="10">
        <f>227.2-38.9-1.4</f>
        <v>186.89999999999998</v>
      </c>
      <c r="G125" s="10"/>
      <c r="H125" s="10"/>
      <c r="I125" s="10"/>
      <c r="J125" s="10"/>
      <c r="K125" s="10"/>
    </row>
    <row r="126" spans="1:11" ht="13.5" customHeight="1" x14ac:dyDescent="0.2">
      <c r="A126" s="11" t="s">
        <v>143</v>
      </c>
      <c r="B126" s="12" t="s">
        <v>59</v>
      </c>
      <c r="C126" s="9">
        <f t="shared" si="86"/>
        <v>182.6</v>
      </c>
      <c r="D126" s="10"/>
      <c r="E126" s="10"/>
      <c r="F126" s="10">
        <f>175.4+6.6</f>
        <v>182</v>
      </c>
      <c r="G126" s="10"/>
      <c r="H126" s="10"/>
      <c r="I126" s="10"/>
      <c r="J126" s="10"/>
      <c r="K126" s="10">
        <v>0.6</v>
      </c>
    </row>
    <row r="127" spans="1:11" ht="13.5" customHeight="1" x14ac:dyDescent="0.2">
      <c r="A127" s="11" t="s">
        <v>144</v>
      </c>
      <c r="B127" s="12" t="s">
        <v>60</v>
      </c>
      <c r="C127" s="9">
        <f t="shared" si="86"/>
        <v>14.6</v>
      </c>
      <c r="D127" s="10">
        <v>14.6</v>
      </c>
      <c r="E127" s="10"/>
      <c r="F127" s="10"/>
      <c r="G127" s="10"/>
      <c r="H127" s="10"/>
      <c r="I127" s="10"/>
      <c r="J127" s="10"/>
      <c r="K127" s="10"/>
    </row>
    <row r="128" spans="1:11" ht="13.5" customHeight="1" x14ac:dyDescent="0.2">
      <c r="A128" s="11" t="s">
        <v>145</v>
      </c>
      <c r="B128" s="16" t="s">
        <v>61</v>
      </c>
      <c r="C128" s="9">
        <f t="shared" si="86"/>
        <v>87.1</v>
      </c>
      <c r="D128" s="10"/>
      <c r="E128" s="10"/>
      <c r="F128" s="10">
        <f>91.7-6.7</f>
        <v>85</v>
      </c>
      <c r="G128" s="10"/>
      <c r="H128" s="10"/>
      <c r="I128" s="10"/>
      <c r="J128" s="10"/>
      <c r="K128" s="10">
        <v>2.1</v>
      </c>
    </row>
    <row r="129" spans="1:11" ht="25.5" x14ac:dyDescent="0.2">
      <c r="A129" s="7">
        <v>50</v>
      </c>
      <c r="B129" s="13" t="s">
        <v>49</v>
      </c>
      <c r="C129" s="9">
        <f>+C130+C131+C132+C133</f>
        <v>499.79999999999995</v>
      </c>
      <c r="D129" s="10">
        <f t="shared" ref="D129:K129" si="92">+D130+D131+D132+D133</f>
        <v>51.399999999999991</v>
      </c>
      <c r="E129" s="10">
        <f t="shared" si="92"/>
        <v>0</v>
      </c>
      <c r="F129" s="10">
        <f t="shared" si="92"/>
        <v>419.3</v>
      </c>
      <c r="G129" s="10">
        <f t="shared" si="92"/>
        <v>0</v>
      </c>
      <c r="H129" s="10">
        <f t="shared" si="92"/>
        <v>0</v>
      </c>
      <c r="I129" s="10">
        <f t="shared" si="92"/>
        <v>0</v>
      </c>
      <c r="J129" s="10">
        <f t="shared" si="92"/>
        <v>0</v>
      </c>
      <c r="K129" s="10">
        <f t="shared" si="92"/>
        <v>29.1</v>
      </c>
    </row>
    <row r="130" spans="1:11" ht="13.5" customHeight="1" x14ac:dyDescent="0.2">
      <c r="A130" s="11" t="s">
        <v>146</v>
      </c>
      <c r="B130" s="12" t="s">
        <v>58</v>
      </c>
      <c r="C130" s="9">
        <f t="shared" si="86"/>
        <v>151.39999999999998</v>
      </c>
      <c r="D130" s="10">
        <f>46.9-9.6-1.1</f>
        <v>36.199999999999996</v>
      </c>
      <c r="E130" s="10"/>
      <c r="F130" s="10">
        <f>187-70.4-1.4</f>
        <v>115.19999999999999</v>
      </c>
      <c r="G130" s="10"/>
      <c r="H130" s="10"/>
      <c r="I130" s="10"/>
      <c r="J130" s="10"/>
      <c r="K130" s="10"/>
    </row>
    <row r="131" spans="1:11" ht="13.5" customHeight="1" x14ac:dyDescent="0.2">
      <c r="A131" s="11" t="s">
        <v>147</v>
      </c>
      <c r="B131" s="12" t="s">
        <v>59</v>
      </c>
      <c r="C131" s="9">
        <f t="shared" si="86"/>
        <v>192.3</v>
      </c>
      <c r="D131" s="10"/>
      <c r="E131" s="10"/>
      <c r="F131" s="10">
        <f>189.2+6.8-3.7</f>
        <v>192.3</v>
      </c>
      <c r="G131" s="10"/>
      <c r="H131" s="10"/>
      <c r="I131" s="10"/>
      <c r="J131" s="10"/>
      <c r="K131" s="10"/>
    </row>
    <row r="132" spans="1:11" ht="13.5" customHeight="1" x14ac:dyDescent="0.2">
      <c r="A132" s="11" t="s">
        <v>148</v>
      </c>
      <c r="B132" s="12" t="s">
        <v>60</v>
      </c>
      <c r="C132" s="9">
        <f t="shared" si="86"/>
        <v>15.2</v>
      </c>
      <c r="D132" s="10">
        <v>15.2</v>
      </c>
      <c r="E132" s="10"/>
      <c r="F132" s="10"/>
      <c r="G132" s="10"/>
      <c r="H132" s="10"/>
      <c r="I132" s="10"/>
      <c r="J132" s="10"/>
      <c r="K132" s="10"/>
    </row>
    <row r="133" spans="1:11" ht="13.5" customHeight="1" x14ac:dyDescent="0.2">
      <c r="A133" s="11" t="s">
        <v>149</v>
      </c>
      <c r="B133" s="16" t="s">
        <v>61</v>
      </c>
      <c r="C133" s="9">
        <f t="shared" si="86"/>
        <v>140.9</v>
      </c>
      <c r="D133" s="10"/>
      <c r="E133" s="10"/>
      <c r="F133" s="10">
        <f>107.3+4.5</f>
        <v>111.8</v>
      </c>
      <c r="G133" s="10"/>
      <c r="H133" s="10"/>
      <c r="I133" s="10"/>
      <c r="J133" s="10"/>
      <c r="K133" s="10">
        <f>14.4+14.7</f>
        <v>29.1</v>
      </c>
    </row>
    <row r="134" spans="1:11" ht="25.5" x14ac:dyDescent="0.2">
      <c r="A134" s="7">
        <v>51</v>
      </c>
      <c r="B134" s="15" t="s">
        <v>50</v>
      </c>
      <c r="C134" s="9">
        <f>+C135+C136+C137+C138</f>
        <v>431.8</v>
      </c>
      <c r="D134" s="10">
        <f t="shared" ref="D134:K134" si="93">+D135+D136+D137+D138</f>
        <v>27.8</v>
      </c>
      <c r="E134" s="10">
        <f t="shared" si="93"/>
        <v>0</v>
      </c>
      <c r="F134" s="10">
        <f t="shared" si="93"/>
        <v>395.2</v>
      </c>
      <c r="G134" s="10">
        <f t="shared" si="93"/>
        <v>0</v>
      </c>
      <c r="H134" s="10">
        <f t="shared" si="93"/>
        <v>0</v>
      </c>
      <c r="I134" s="10">
        <f t="shared" si="93"/>
        <v>0</v>
      </c>
      <c r="J134" s="10">
        <f t="shared" si="93"/>
        <v>0</v>
      </c>
      <c r="K134" s="10">
        <f t="shared" si="93"/>
        <v>8.8000000000000007</v>
      </c>
    </row>
    <row r="135" spans="1:11" ht="13.5" customHeight="1" x14ac:dyDescent="0.2">
      <c r="A135" s="11" t="s">
        <v>150</v>
      </c>
      <c r="B135" s="12" t="s">
        <v>58</v>
      </c>
      <c r="C135" s="9">
        <f t="shared" si="86"/>
        <v>100.4</v>
      </c>
      <c r="D135" s="10">
        <f>18+1-2.9</f>
        <v>16.100000000000001</v>
      </c>
      <c r="E135" s="10"/>
      <c r="F135" s="10">
        <f>102.8-21+2.5</f>
        <v>84.3</v>
      </c>
      <c r="G135" s="10"/>
      <c r="H135" s="10"/>
      <c r="I135" s="10"/>
      <c r="J135" s="10"/>
      <c r="K135" s="10"/>
    </row>
    <row r="136" spans="1:11" ht="13.5" customHeight="1" x14ac:dyDescent="0.2">
      <c r="A136" s="11" t="s">
        <v>151</v>
      </c>
      <c r="B136" s="12" t="s">
        <v>59</v>
      </c>
      <c r="C136" s="9">
        <f t="shared" si="86"/>
        <v>148</v>
      </c>
      <c r="D136" s="10"/>
      <c r="E136" s="10"/>
      <c r="F136" s="10">
        <v>148</v>
      </c>
      <c r="G136" s="10"/>
      <c r="H136" s="10"/>
      <c r="I136" s="10"/>
      <c r="J136" s="10"/>
      <c r="K136" s="10"/>
    </row>
    <row r="137" spans="1:11" ht="13.5" customHeight="1" x14ac:dyDescent="0.2">
      <c r="A137" s="11" t="s">
        <v>152</v>
      </c>
      <c r="B137" s="12" t="s">
        <v>60</v>
      </c>
      <c r="C137" s="9">
        <f t="shared" si="86"/>
        <v>11.7</v>
      </c>
      <c r="D137" s="10">
        <v>11.7</v>
      </c>
      <c r="E137" s="10"/>
      <c r="F137" s="10"/>
      <c r="G137" s="10"/>
      <c r="H137" s="10"/>
      <c r="I137" s="10"/>
      <c r="J137" s="10"/>
      <c r="K137" s="10"/>
    </row>
    <row r="138" spans="1:11" ht="13.5" customHeight="1" x14ac:dyDescent="0.2">
      <c r="A138" s="11" t="s">
        <v>153</v>
      </c>
      <c r="B138" s="16" t="s">
        <v>61</v>
      </c>
      <c r="C138" s="9">
        <f t="shared" si="86"/>
        <v>171.7</v>
      </c>
      <c r="D138" s="10"/>
      <c r="E138" s="10"/>
      <c r="F138" s="10">
        <f>165.7-2.8</f>
        <v>162.89999999999998</v>
      </c>
      <c r="G138" s="10"/>
      <c r="H138" s="10"/>
      <c r="I138" s="10"/>
      <c r="J138" s="10"/>
      <c r="K138" s="10">
        <v>8.8000000000000007</v>
      </c>
    </row>
    <row r="139" spans="1:11" ht="25.5" x14ac:dyDescent="0.2">
      <c r="A139" s="7">
        <v>52</v>
      </c>
      <c r="B139" s="13" t="s">
        <v>51</v>
      </c>
      <c r="C139" s="9">
        <f>+C140+C141+C142+C143</f>
        <v>361.3</v>
      </c>
      <c r="D139" s="10">
        <f t="shared" ref="D139:K139" si="94">+D140+D141+D142+D143</f>
        <v>27.099999999999998</v>
      </c>
      <c r="E139" s="10">
        <f t="shared" si="94"/>
        <v>0</v>
      </c>
      <c r="F139" s="10">
        <f t="shared" si="94"/>
        <v>331.6</v>
      </c>
      <c r="G139" s="10">
        <f t="shared" si="94"/>
        <v>0</v>
      </c>
      <c r="H139" s="10">
        <f t="shared" si="94"/>
        <v>0</v>
      </c>
      <c r="I139" s="10">
        <f t="shared" si="94"/>
        <v>0</v>
      </c>
      <c r="J139" s="10">
        <f t="shared" si="94"/>
        <v>0</v>
      </c>
      <c r="K139" s="10">
        <f t="shared" si="94"/>
        <v>2.6</v>
      </c>
    </row>
    <row r="140" spans="1:11" ht="13.5" customHeight="1" x14ac:dyDescent="0.2">
      <c r="A140" s="11" t="s">
        <v>154</v>
      </c>
      <c r="B140" s="12" t="s">
        <v>58</v>
      </c>
      <c r="C140" s="9">
        <f t="shared" si="86"/>
        <v>132.19999999999999</v>
      </c>
      <c r="D140" s="10">
        <f>22.7-5.8</f>
        <v>16.899999999999999</v>
      </c>
      <c r="E140" s="10"/>
      <c r="F140" s="10">
        <f>158.2-42.8-0.1</f>
        <v>115.3</v>
      </c>
      <c r="G140" s="10"/>
      <c r="H140" s="10"/>
      <c r="I140" s="10"/>
      <c r="J140" s="10"/>
      <c r="K140" s="10"/>
    </row>
    <row r="141" spans="1:11" ht="13.5" customHeight="1" x14ac:dyDescent="0.2">
      <c r="A141" s="11" t="s">
        <v>155</v>
      </c>
      <c r="B141" s="12" t="s">
        <v>59</v>
      </c>
      <c r="C141" s="9">
        <f t="shared" si="86"/>
        <v>102.60000000000001</v>
      </c>
      <c r="D141" s="10"/>
      <c r="E141" s="10"/>
      <c r="F141" s="10">
        <f>100.5+1.9</f>
        <v>102.4</v>
      </c>
      <c r="G141" s="10"/>
      <c r="H141" s="10"/>
      <c r="I141" s="10"/>
      <c r="J141" s="10"/>
      <c r="K141" s="10">
        <v>0.2</v>
      </c>
    </row>
    <row r="142" spans="1:11" ht="13.5" customHeight="1" x14ac:dyDescent="0.2">
      <c r="A142" s="11" t="s">
        <v>156</v>
      </c>
      <c r="B142" s="12" t="s">
        <v>60</v>
      </c>
      <c r="C142" s="9">
        <f t="shared" si="86"/>
        <v>10.199999999999999</v>
      </c>
      <c r="D142" s="10">
        <v>10.199999999999999</v>
      </c>
      <c r="E142" s="10"/>
      <c r="F142" s="10"/>
      <c r="G142" s="10"/>
      <c r="H142" s="10"/>
      <c r="I142" s="10"/>
      <c r="J142" s="10"/>
      <c r="K142" s="10"/>
    </row>
    <row r="143" spans="1:11" ht="13.5" customHeight="1" x14ac:dyDescent="0.2">
      <c r="A143" s="11" t="s">
        <v>157</v>
      </c>
      <c r="B143" s="16" t="s">
        <v>61</v>
      </c>
      <c r="C143" s="9">
        <f t="shared" si="86"/>
        <v>116.30000000000001</v>
      </c>
      <c r="D143" s="10"/>
      <c r="E143" s="10"/>
      <c r="F143" s="10">
        <f>112+1.9</f>
        <v>113.9</v>
      </c>
      <c r="G143" s="10"/>
      <c r="H143" s="10"/>
      <c r="I143" s="10"/>
      <c r="J143" s="10"/>
      <c r="K143" s="10">
        <v>2.4</v>
      </c>
    </row>
    <row r="144" spans="1:11" ht="25.5" x14ac:dyDescent="0.2">
      <c r="A144" s="7">
        <v>53</v>
      </c>
      <c r="B144" s="13" t="s">
        <v>52</v>
      </c>
      <c r="C144" s="9">
        <f>+C145+C146+C147+C148</f>
        <v>463.50000000000006</v>
      </c>
      <c r="D144" s="10">
        <f t="shared" ref="D144:K144" si="95">+D145+D146+D147+D148</f>
        <v>34</v>
      </c>
      <c r="E144" s="10">
        <f t="shared" si="95"/>
        <v>0</v>
      </c>
      <c r="F144" s="10">
        <f t="shared" si="95"/>
        <v>421.20000000000005</v>
      </c>
      <c r="G144" s="10">
        <f t="shared" si="95"/>
        <v>0</v>
      </c>
      <c r="H144" s="10">
        <f t="shared" si="95"/>
        <v>0</v>
      </c>
      <c r="I144" s="10">
        <f t="shared" si="95"/>
        <v>0</v>
      </c>
      <c r="J144" s="10">
        <f t="shared" si="95"/>
        <v>0</v>
      </c>
      <c r="K144" s="10">
        <f t="shared" si="95"/>
        <v>8.3000000000000007</v>
      </c>
    </row>
    <row r="145" spans="1:11" ht="13.5" customHeight="1" x14ac:dyDescent="0.2">
      <c r="A145" s="11" t="s">
        <v>158</v>
      </c>
      <c r="B145" s="12" t="s">
        <v>58</v>
      </c>
      <c r="C145" s="9">
        <f t="shared" si="86"/>
        <v>139.70000000000002</v>
      </c>
      <c r="D145" s="10">
        <f>30.7-2-11+1.7</f>
        <v>19.399999999999999</v>
      </c>
      <c r="E145" s="10"/>
      <c r="F145" s="10">
        <f>141.9-22+0.4</f>
        <v>120.30000000000001</v>
      </c>
      <c r="G145" s="10"/>
      <c r="H145" s="10"/>
      <c r="I145" s="10"/>
      <c r="J145" s="10"/>
      <c r="K145" s="10"/>
    </row>
    <row r="146" spans="1:11" ht="13.5" customHeight="1" x14ac:dyDescent="0.2">
      <c r="A146" s="11" t="s">
        <v>159</v>
      </c>
      <c r="B146" s="12" t="s">
        <v>59</v>
      </c>
      <c r="C146" s="9">
        <f t="shared" si="86"/>
        <v>191</v>
      </c>
      <c r="D146" s="10"/>
      <c r="E146" s="10"/>
      <c r="F146" s="10">
        <f>184.9+0.5</f>
        <v>185.4</v>
      </c>
      <c r="G146" s="10"/>
      <c r="H146" s="10"/>
      <c r="I146" s="10"/>
      <c r="J146" s="10"/>
      <c r="K146" s="10">
        <v>5.6</v>
      </c>
    </row>
    <row r="147" spans="1:11" ht="13.5" customHeight="1" x14ac:dyDescent="0.2">
      <c r="A147" s="11" t="s">
        <v>160</v>
      </c>
      <c r="B147" s="12" t="s">
        <v>60</v>
      </c>
      <c r="C147" s="9">
        <f t="shared" si="86"/>
        <v>14.6</v>
      </c>
      <c r="D147" s="10">
        <v>14.6</v>
      </c>
      <c r="E147" s="10"/>
      <c r="F147" s="10"/>
      <c r="G147" s="10"/>
      <c r="H147" s="10"/>
      <c r="I147" s="10"/>
      <c r="J147" s="10"/>
      <c r="K147" s="10"/>
    </row>
    <row r="148" spans="1:11" ht="13.5" customHeight="1" x14ac:dyDescent="0.2">
      <c r="A148" s="11" t="s">
        <v>161</v>
      </c>
      <c r="B148" s="16" t="s">
        <v>61</v>
      </c>
      <c r="C148" s="9">
        <f t="shared" si="86"/>
        <v>118.2</v>
      </c>
      <c r="D148" s="10"/>
      <c r="E148" s="10"/>
      <c r="F148" s="10">
        <f>104-1.5+13</f>
        <v>115.5</v>
      </c>
      <c r="G148" s="10"/>
      <c r="H148" s="10"/>
      <c r="I148" s="10"/>
      <c r="J148" s="10"/>
      <c r="K148" s="10">
        <v>2.7</v>
      </c>
    </row>
    <row r="149" spans="1:11" ht="25.5" x14ac:dyDescent="0.2">
      <c r="A149" s="7">
        <v>54</v>
      </c>
      <c r="B149" s="13" t="s">
        <v>53</v>
      </c>
      <c r="C149" s="9">
        <f>+C150+C151+C152+C153</f>
        <v>384.90000000000003</v>
      </c>
      <c r="D149" s="10">
        <f t="shared" ref="D149:K149" si="96">+D150+D151+D152+D153</f>
        <v>27.5</v>
      </c>
      <c r="E149" s="10">
        <f t="shared" si="96"/>
        <v>0</v>
      </c>
      <c r="F149" s="10">
        <f t="shared" si="96"/>
        <v>351.90000000000003</v>
      </c>
      <c r="G149" s="10">
        <f t="shared" si="96"/>
        <v>0</v>
      </c>
      <c r="H149" s="10">
        <f t="shared" si="96"/>
        <v>0</v>
      </c>
      <c r="I149" s="10">
        <f t="shared" si="96"/>
        <v>0</v>
      </c>
      <c r="J149" s="10">
        <f t="shared" si="96"/>
        <v>0</v>
      </c>
      <c r="K149" s="10">
        <f t="shared" si="96"/>
        <v>5.5</v>
      </c>
    </row>
    <row r="150" spans="1:11" ht="13.5" customHeight="1" x14ac:dyDescent="0.2">
      <c r="A150" s="11" t="s">
        <v>162</v>
      </c>
      <c r="B150" s="12" t="s">
        <v>58</v>
      </c>
      <c r="C150" s="9">
        <f t="shared" si="86"/>
        <v>116.50000000000001</v>
      </c>
      <c r="D150" s="10">
        <f>20.3-3.9-0.6</f>
        <v>15.800000000000002</v>
      </c>
      <c r="E150" s="10"/>
      <c r="F150" s="10">
        <f>115.9-14.6-0.6</f>
        <v>100.70000000000002</v>
      </c>
      <c r="G150" s="10"/>
      <c r="H150" s="10"/>
      <c r="I150" s="10"/>
      <c r="J150" s="10"/>
      <c r="K150" s="10"/>
    </row>
    <row r="151" spans="1:11" ht="13.5" customHeight="1" x14ac:dyDescent="0.2">
      <c r="A151" s="11" t="s">
        <v>164</v>
      </c>
      <c r="B151" s="12" t="s">
        <v>59</v>
      </c>
      <c r="C151" s="9">
        <f t="shared" si="86"/>
        <v>145.9</v>
      </c>
      <c r="D151" s="10"/>
      <c r="E151" s="10"/>
      <c r="F151" s="10">
        <f>137.5+8.4</f>
        <v>145.9</v>
      </c>
      <c r="G151" s="10"/>
      <c r="H151" s="10"/>
      <c r="I151" s="10"/>
      <c r="J151" s="10"/>
      <c r="K151" s="10"/>
    </row>
    <row r="152" spans="1:11" ht="13.5" customHeight="1" x14ac:dyDescent="0.2">
      <c r="A152" s="11" t="s">
        <v>163</v>
      </c>
      <c r="B152" s="12" t="s">
        <v>60</v>
      </c>
      <c r="C152" s="9">
        <f t="shared" si="86"/>
        <v>11.7</v>
      </c>
      <c r="D152" s="10">
        <v>11.7</v>
      </c>
      <c r="E152" s="10"/>
      <c r="F152" s="10"/>
      <c r="G152" s="10"/>
      <c r="H152" s="10"/>
      <c r="I152" s="10"/>
      <c r="J152" s="10"/>
      <c r="K152" s="10"/>
    </row>
    <row r="153" spans="1:11" ht="13.5" customHeight="1" x14ac:dyDescent="0.2">
      <c r="A153" s="11" t="s">
        <v>165</v>
      </c>
      <c r="B153" s="16" t="s">
        <v>61</v>
      </c>
      <c r="C153" s="9">
        <f t="shared" si="86"/>
        <v>110.8</v>
      </c>
      <c r="D153" s="10"/>
      <c r="E153" s="10"/>
      <c r="F153" s="10">
        <f>113.1-7.8</f>
        <v>105.3</v>
      </c>
      <c r="G153" s="10"/>
      <c r="H153" s="10"/>
      <c r="I153" s="10"/>
      <c r="J153" s="10"/>
      <c r="K153" s="10">
        <v>5.5</v>
      </c>
    </row>
    <row r="154" spans="1:11" ht="25.5" x14ac:dyDescent="0.2">
      <c r="A154" s="7">
        <v>55</v>
      </c>
      <c r="B154" s="13" t="s">
        <v>54</v>
      </c>
      <c r="C154" s="9">
        <f>+C155+C156+C157+C158</f>
        <v>618</v>
      </c>
      <c r="D154" s="10">
        <f t="shared" ref="D154:K154" si="97">+D155+D156+D157+D158</f>
        <v>38</v>
      </c>
      <c r="E154" s="10">
        <f t="shared" si="97"/>
        <v>0</v>
      </c>
      <c r="F154" s="10">
        <f t="shared" si="97"/>
        <v>573.70000000000005</v>
      </c>
      <c r="G154" s="10">
        <f t="shared" si="97"/>
        <v>0</v>
      </c>
      <c r="H154" s="10">
        <f t="shared" si="97"/>
        <v>0</v>
      </c>
      <c r="I154" s="10">
        <f t="shared" si="97"/>
        <v>0</v>
      </c>
      <c r="J154" s="10">
        <f t="shared" si="97"/>
        <v>0</v>
      </c>
      <c r="K154" s="10">
        <f t="shared" si="97"/>
        <v>6.3</v>
      </c>
    </row>
    <row r="155" spans="1:11" ht="13.5" customHeight="1" x14ac:dyDescent="0.2">
      <c r="A155" s="11" t="s">
        <v>166</v>
      </c>
      <c r="B155" s="18" t="s">
        <v>58</v>
      </c>
      <c r="C155" s="9">
        <f t="shared" si="86"/>
        <v>167.8</v>
      </c>
      <c r="D155" s="10">
        <f>43.2-2-11.7+1.2</f>
        <v>30.700000000000003</v>
      </c>
      <c r="E155" s="10"/>
      <c r="F155" s="10">
        <f>145.9-9.8-0.8+1.8</f>
        <v>137.1</v>
      </c>
      <c r="G155" s="10"/>
      <c r="H155" s="10"/>
      <c r="I155" s="10"/>
      <c r="J155" s="10"/>
      <c r="K155" s="10"/>
    </row>
    <row r="156" spans="1:11" ht="13.5" customHeight="1" x14ac:dyDescent="0.2">
      <c r="A156" s="11" t="s">
        <v>168</v>
      </c>
      <c r="B156" s="18" t="s">
        <v>59</v>
      </c>
      <c r="C156" s="9">
        <f t="shared" si="86"/>
        <v>298.5</v>
      </c>
      <c r="D156" s="10"/>
      <c r="E156" s="10"/>
      <c r="F156" s="10">
        <f>310.4-11.9</f>
        <v>298.5</v>
      </c>
      <c r="G156" s="10"/>
      <c r="H156" s="10"/>
      <c r="I156" s="10"/>
      <c r="J156" s="10"/>
      <c r="K156" s="10"/>
    </row>
    <row r="157" spans="1:11" ht="13.5" customHeight="1" x14ac:dyDescent="0.2">
      <c r="A157" s="11" t="s">
        <v>167</v>
      </c>
      <c r="B157" s="18" t="s">
        <v>60</v>
      </c>
      <c r="C157" s="9">
        <f t="shared" si="86"/>
        <v>7.3</v>
      </c>
      <c r="D157" s="10">
        <v>7.3</v>
      </c>
      <c r="E157" s="10"/>
      <c r="F157" s="10"/>
      <c r="G157" s="10"/>
      <c r="H157" s="10"/>
      <c r="I157" s="10"/>
      <c r="J157" s="10"/>
      <c r="K157" s="10"/>
    </row>
    <row r="158" spans="1:11" ht="13.5" customHeight="1" x14ac:dyDescent="0.2">
      <c r="A158" s="11" t="s">
        <v>169</v>
      </c>
      <c r="B158" s="19" t="s">
        <v>61</v>
      </c>
      <c r="C158" s="20">
        <f t="shared" si="86"/>
        <v>144.4</v>
      </c>
      <c r="D158" s="21"/>
      <c r="E158" s="21"/>
      <c r="F158" s="21">
        <f>128+10.1</f>
        <v>138.1</v>
      </c>
      <c r="G158" s="21"/>
      <c r="H158" s="21"/>
      <c r="I158" s="21"/>
      <c r="J158" s="21"/>
      <c r="K158" s="21">
        <v>6.3</v>
      </c>
    </row>
    <row r="159" spans="1:11" x14ac:dyDescent="0.2">
      <c r="A159" s="7">
        <v>56</v>
      </c>
      <c r="B159" s="22" t="s">
        <v>71</v>
      </c>
      <c r="C159" s="23">
        <f>+C10+C12+C14+C16+C18+C20+C22+C24+C26+C28+C30+C32+C34+C36+C38+C40+C42+C44+C46+C48+C50+C52+C54+C56+C58+C60+C62+C64+C66+C68+C70+C72+C74+C76+C78+C80+C82+C84+C86+C89+C92+C94+C96+C98+C104+C108+C113+C118+C123+C129+C134+C139+C144+C149+C154</f>
        <v>121701.70000000001</v>
      </c>
      <c r="D159" s="23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7866.2</v>
      </c>
      <c r="E159" s="23">
        <f t="shared" si="98"/>
        <v>25553.100000000002</v>
      </c>
      <c r="F159" s="23">
        <f t="shared" si="98"/>
        <v>66940.999999999985</v>
      </c>
      <c r="G159" s="23">
        <f t="shared" si="98"/>
        <v>9673.8000000000011</v>
      </c>
      <c r="H159" s="23">
        <f t="shared" si="98"/>
        <v>4213.8</v>
      </c>
      <c r="I159" s="23">
        <f t="shared" si="98"/>
        <v>652.80000000000007</v>
      </c>
      <c r="J159" s="23">
        <f t="shared" si="98"/>
        <v>3065.8</v>
      </c>
      <c r="K159" s="23">
        <f t="shared" si="98"/>
        <v>3735.2000000000003</v>
      </c>
    </row>
    <row r="161" spans="1:11" ht="15" customHeight="1" x14ac:dyDescent="0.2">
      <c r="A161" s="88" t="s">
        <v>223</v>
      </c>
      <c r="B161" s="89"/>
      <c r="C161" s="89"/>
      <c r="D161" s="89"/>
      <c r="E161" s="89"/>
      <c r="F161" s="89"/>
      <c r="G161" s="89"/>
      <c r="H161" s="89"/>
      <c r="I161" s="89"/>
      <c r="J161" s="89"/>
      <c r="K161" s="90"/>
    </row>
    <row r="162" spans="1:11" ht="13.5" customHeight="1" x14ac:dyDescent="0.2">
      <c r="A162" s="92" t="s">
        <v>57</v>
      </c>
      <c r="B162" s="93"/>
      <c r="C162" s="9">
        <f>+C11+C13+C15+C17+C19+C21+C23+C25+C27+C29+C31+C33+C35+C37+C39+C41+C43+C45+C47+C49+C51+C53+C55+C57+C59+C61+C63+C65+C67+C69+C71+C73+C75+C77+C79+C87+C90+C99+C124</f>
        <v>59281.200000000012</v>
      </c>
      <c r="D162" s="10">
        <f t="shared" ref="D162:K162" si="99">+D11+D13+D15+D17+D19+D21+D23+D25+D27+D29+D31+D33+D35+D37+D39+D41+D43+D45+D47+D49+D51+D53+D55+D57+D59+D61+D63+D65+D67+D69+D71+D73+D75+D77+D79+D87+D90+D99+D124</f>
        <v>0</v>
      </c>
      <c r="E162" s="9">
        <f t="shared" si="99"/>
        <v>25553.100000000002</v>
      </c>
      <c r="F162" s="9">
        <f t="shared" si="99"/>
        <v>28305.700000000004</v>
      </c>
      <c r="G162" s="9">
        <f t="shared" si="99"/>
        <v>1806.5</v>
      </c>
      <c r="H162" s="9">
        <f t="shared" si="99"/>
        <v>1368.6</v>
      </c>
      <c r="I162" s="9">
        <f>+I11+I13+I15+I17+I19+I21+I23+I25+I27+I29+I31+I33+I35+I37+I39+I41+I43+I45+I47+I49+I51+I53+I55+I57+I59+I61+I63+I65+I67+I69+I71+I73+I75+I77+I79+I87+I90+I99+I124</f>
        <v>375.70000000000005</v>
      </c>
      <c r="J162" s="10">
        <f t="shared" si="99"/>
        <v>0</v>
      </c>
      <c r="K162" s="25">
        <f t="shared" si="99"/>
        <v>1871.6</v>
      </c>
    </row>
    <row r="163" spans="1:11" ht="13.5" customHeight="1" x14ac:dyDescent="0.2">
      <c r="A163" s="92" t="s">
        <v>58</v>
      </c>
      <c r="B163" s="93"/>
      <c r="C163" s="9">
        <f>+C81+C83+C85+C88+C91+C93+C95+C100+C105+C109+C114+C119+C125+C130+C135+C140+C145+C150+C155</f>
        <v>26818.300000000003</v>
      </c>
      <c r="D163" s="9">
        <f t="shared" ref="D163:J163" si="100">+D81+D83+D85+D88+D91+D93+D95+D100+D105+D109+D114+D119+D125+D130+D135+D140+D145+D150+D155</f>
        <v>7010.6999999999989</v>
      </c>
      <c r="E163" s="10">
        <f t="shared" si="100"/>
        <v>0</v>
      </c>
      <c r="F163" s="9">
        <f t="shared" si="100"/>
        <v>14731.300000000001</v>
      </c>
      <c r="G163" s="9">
        <f>+G81+G83+G85+G88+G91+G93+G95+G100+G105+G109+G114+G119+G125+G130+G135+G140+G145+G150+G155</f>
        <v>1940.6</v>
      </c>
      <c r="H163" s="9">
        <f t="shared" si="100"/>
        <v>1142.7000000000003</v>
      </c>
      <c r="I163" s="9">
        <f t="shared" si="100"/>
        <v>266.10000000000002</v>
      </c>
      <c r="J163" s="10">
        <f t="shared" si="100"/>
        <v>0</v>
      </c>
      <c r="K163" s="25">
        <f>+K81+K83+K85+K88+K91+K93+K95+K100+K105+K109+K114+K119+K125+K130+K135+K140+K145+K150+K155</f>
        <v>1726.9</v>
      </c>
    </row>
    <row r="164" spans="1:11" ht="13.5" customHeight="1" x14ac:dyDescent="0.2">
      <c r="A164" s="92" t="s">
        <v>59</v>
      </c>
      <c r="B164" s="93"/>
      <c r="C164" s="9">
        <f>+C101+C106+C110+C115+C120+C126+C131+C136+C141+C146+C151+C156</f>
        <v>18951.599999999995</v>
      </c>
      <c r="D164" s="10">
        <f t="shared" ref="D164:K164" si="101">+D101+D106+D110+D115+D120+D126+D131+D136+D141+D146+D151+D156</f>
        <v>0</v>
      </c>
      <c r="E164" s="10">
        <f t="shared" si="101"/>
        <v>0</v>
      </c>
      <c r="F164" s="9">
        <f t="shared" si="101"/>
        <v>13029.399999999998</v>
      </c>
      <c r="G164" s="9">
        <f t="shared" si="101"/>
        <v>3332.2999999999997</v>
      </c>
      <c r="H164" s="9">
        <f t="shared" si="101"/>
        <v>1572.5</v>
      </c>
      <c r="I164" s="10">
        <f t="shared" si="101"/>
        <v>0</v>
      </c>
      <c r="J164" s="9">
        <f t="shared" si="101"/>
        <v>1000</v>
      </c>
      <c r="K164" s="25">
        <f t="shared" si="101"/>
        <v>17.399999999999999</v>
      </c>
    </row>
    <row r="165" spans="1:11" ht="13.5" customHeight="1" x14ac:dyDescent="0.2">
      <c r="A165" s="92" t="s">
        <v>60</v>
      </c>
      <c r="B165" s="93"/>
      <c r="C165" s="9">
        <f>+C102+C111+C116+C121+C132+C137+C147+C152+C157+C142+C127</f>
        <v>4934.8</v>
      </c>
      <c r="D165" s="9">
        <f t="shared" ref="D165:K165" si="102">+D102+D111+D116+D121+D132+D137+D147+D152+D157+D142+D127</f>
        <v>619.70000000000027</v>
      </c>
      <c r="E165" s="10">
        <f t="shared" si="102"/>
        <v>0</v>
      </c>
      <c r="F165" s="9">
        <f t="shared" si="102"/>
        <v>1647.5</v>
      </c>
      <c r="G165" s="9">
        <f t="shared" si="102"/>
        <v>2594.4</v>
      </c>
      <c r="H165" s="9">
        <f t="shared" si="102"/>
        <v>62.199999999999989</v>
      </c>
      <c r="I165" s="10">
        <f t="shared" si="102"/>
        <v>11</v>
      </c>
      <c r="J165" s="10">
        <f t="shared" si="102"/>
        <v>0</v>
      </c>
      <c r="K165" s="25">
        <f t="shared" si="102"/>
        <v>0</v>
      </c>
    </row>
    <row r="166" spans="1:11" ht="13.5" customHeight="1" x14ac:dyDescent="0.2">
      <c r="A166" s="94" t="s">
        <v>61</v>
      </c>
      <c r="B166" s="95"/>
      <c r="C166" s="9">
        <f>+C97+C103+C107+C112+C117+C122+C128+C133+C138+C143+C148+C153+C158</f>
        <v>11715.800000000001</v>
      </c>
      <c r="D166" s="9">
        <f>+D97+D103+D107+D112+D117+D122+D128+D133+D138+D143+D148+D153+D158</f>
        <v>235.79999999999998</v>
      </c>
      <c r="E166" s="10">
        <f t="shared" ref="E166:J166" si="103">+E97+E103+E107+E112+E117+E122+E128+E133+E138+E143+E148+E153+E158</f>
        <v>0</v>
      </c>
      <c r="F166" s="9">
        <f t="shared" si="103"/>
        <v>9227.0999999999985</v>
      </c>
      <c r="G166" s="9">
        <f t="shared" si="103"/>
        <v>0</v>
      </c>
      <c r="H166" s="9">
        <f t="shared" si="103"/>
        <v>67.8</v>
      </c>
      <c r="I166" s="10">
        <f t="shared" si="103"/>
        <v>0</v>
      </c>
      <c r="J166" s="9">
        <f t="shared" si="103"/>
        <v>2065.8000000000002</v>
      </c>
      <c r="K166" s="25">
        <f>+K97+K103+K107+K112+K117+K122+K128+K133+K138+K143+K148+K153+K158</f>
        <v>119.3</v>
      </c>
    </row>
    <row r="167" spans="1:11" x14ac:dyDescent="0.2">
      <c r="A167" s="86" t="s">
        <v>71</v>
      </c>
      <c r="B167" s="87"/>
      <c r="C167" s="23">
        <f>SUM(C162:C166)</f>
        <v>121701.70000000001</v>
      </c>
      <c r="D167" s="23">
        <f t="shared" ref="D167:K167" si="104">SUM(D162:D166)</f>
        <v>7866.2</v>
      </c>
      <c r="E167" s="23">
        <f t="shared" si="104"/>
        <v>25553.100000000002</v>
      </c>
      <c r="F167" s="23">
        <f t="shared" si="104"/>
        <v>66941</v>
      </c>
      <c r="G167" s="23">
        <f t="shared" si="104"/>
        <v>9673.7999999999993</v>
      </c>
      <c r="H167" s="23">
        <f t="shared" si="104"/>
        <v>4213.8</v>
      </c>
      <c r="I167" s="23">
        <f t="shared" si="104"/>
        <v>652.80000000000007</v>
      </c>
      <c r="J167" s="23">
        <f t="shared" si="104"/>
        <v>3065.8</v>
      </c>
      <c r="K167" s="23">
        <f t="shared" si="104"/>
        <v>3735.2000000000003</v>
      </c>
    </row>
    <row r="170" spans="1:11" x14ac:dyDescent="0.2">
      <c r="D170" s="91" t="s">
        <v>222</v>
      </c>
      <c r="E170" s="91"/>
      <c r="F170" s="91"/>
      <c r="G170" s="91"/>
      <c r="H170" s="91"/>
    </row>
  </sheetData>
  <mergeCells count="19"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  <mergeCell ref="A167:B167"/>
    <mergeCell ref="A161:K161"/>
    <mergeCell ref="D170:H170"/>
    <mergeCell ref="A162:B162"/>
    <mergeCell ref="A163:B163"/>
    <mergeCell ref="A164:B164"/>
    <mergeCell ref="A165:B165"/>
    <mergeCell ref="A166:B166"/>
  </mergeCells>
  <phoneticPr fontId="4" type="noConversion"/>
  <pageMargins left="0.70866141732283472" right="0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4</vt:i4>
      </vt:variant>
    </vt:vector>
  </HeadingPairs>
  <TitlesOfParts>
    <vt:vector size="7" baseType="lpstr">
      <vt:lpstr>1 priedas</vt:lpstr>
      <vt:lpstr>2 priedas</vt:lpstr>
      <vt:lpstr>3 priedas</vt:lpstr>
      <vt:lpstr>'1 priedas'!Print_Area</vt:lpstr>
      <vt:lpstr>'3 priedas'!Print_Area</vt:lpstr>
      <vt:lpstr>'2 priedas'!Print_Titles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Jolanta Sakavičienė</cp:lastModifiedBy>
  <cp:lastPrinted>2025-11-13T14:13:46Z</cp:lastPrinted>
  <dcterms:created xsi:type="dcterms:W3CDTF">2015-06-05T18:19:34Z</dcterms:created>
  <dcterms:modified xsi:type="dcterms:W3CDTF">2025-11-13T19:12:45Z</dcterms:modified>
</cp:coreProperties>
</file>