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sakaviciene\Desktop\seni dokumentai\2024 m sprendimai\2024-11-29 Tarybos posėdis\Biudžetas\Biudžetas Tarybai\"/>
    </mc:Choice>
  </mc:AlternateContent>
  <xr:revisionPtr revIDLastSave="0" documentId="13_ncr:1_{652BE99E-4EC8-4C92-8B1E-A06D97B5E240}" xr6:coauthVersionLast="47" xr6:coauthVersionMax="47" xr10:uidLastSave="{00000000-0000-0000-0000-000000000000}"/>
  <bookViews>
    <workbookView xWindow="-120" yWindow="-120" windowWidth="29040" windowHeight="15720" tabRatio="897" xr2:uid="{00000000-000D-0000-FFFF-FFFF00000000}"/>
  </bookViews>
  <sheets>
    <sheet name="1 pr" sheetId="75" r:id="rId1"/>
    <sheet name="2 pr" sheetId="57" r:id="rId2"/>
    <sheet name="3 pr" sheetId="76" r:id="rId3"/>
    <sheet name="4 pr" sheetId="58" r:id="rId4"/>
    <sheet name="5 pr" sheetId="62" r:id="rId5"/>
    <sheet name="6 pr" sheetId="60" r:id="rId6"/>
    <sheet name="7 pr" sheetId="80" r:id="rId7"/>
    <sheet name="8 pr" sheetId="78" r:id="rId8"/>
    <sheet name="9 pr" sheetId="68" r:id="rId9"/>
    <sheet name="10 pr" sheetId="79" r:id="rId10"/>
    <sheet name="11 pr" sheetId="81" r:id="rId11"/>
    <sheet name="13 pr" sheetId="82" r:id="rId12"/>
  </sheets>
  <definedNames>
    <definedName name="_xlnm.Print_Area" localSheetId="0">'1 pr'!$A$1:$C$49</definedName>
    <definedName name="_xlnm.Print_Area" localSheetId="9">'10 pr'!$A$1:$D$162</definedName>
    <definedName name="_xlnm.Print_Area" localSheetId="10">'11 pr'!$A$1:$D$27</definedName>
    <definedName name="_xlnm.Print_Area" localSheetId="11">'13 pr'!$A$1:$D$96</definedName>
    <definedName name="_xlnm.Print_Area" localSheetId="1">'2 pr'!$A$1:$G$66</definedName>
    <definedName name="_xlnm.Print_Area" localSheetId="2">'3 pr'!$A$1:$D$310</definedName>
    <definedName name="_xlnm.Print_Area" localSheetId="3">'4 pr'!$A$1:$D$52</definedName>
    <definedName name="_xlnm.Print_Area" localSheetId="4">'5 pr'!$A$1:$D$57</definedName>
    <definedName name="_xlnm.Print_Area" localSheetId="5">'6 pr'!$A$1:$D$46</definedName>
    <definedName name="_xlnm.Print_Area" localSheetId="6">'7 pr'!$A$1:$D$39</definedName>
    <definedName name="_xlnm.Print_Area" localSheetId="7">'8 pr'!$A$1:$D$104</definedName>
    <definedName name="_xlnm.Print_Area" localSheetId="8">'9 pr'!$A$1:$D$50</definedName>
    <definedName name="_xlnm.Print_Titles" localSheetId="0">'1 pr'!$7:$7</definedName>
    <definedName name="_xlnm.Print_Titles" localSheetId="9">'10 pr'!$9:$9</definedName>
    <definedName name="_xlnm.Print_Titles" localSheetId="1">'2 pr'!$9:$9</definedName>
    <definedName name="_xlnm.Print_Titles" localSheetId="2">'3 pr'!$9:$9</definedName>
    <definedName name="_xlnm.Print_Titles" localSheetId="3">'4 pr'!$8:$8</definedName>
    <definedName name="_xlnm.Print_Titles" localSheetId="4">'5 pr'!$8:$8</definedName>
    <definedName name="_xlnm.Print_Titles" localSheetId="5">'6 pr'!$9:$9</definedName>
    <definedName name="_xlnm.Print_Titles" localSheetId="7">'8 pr'!$9:$9</definedName>
    <definedName name="_xlnm.Print_Titles" localSheetId="8">'9 pr'!$14:$14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6" i="75" l="1"/>
  <c r="D146" i="76"/>
  <c r="D21" i="78"/>
  <c r="D20" i="78"/>
  <c r="D19" i="78"/>
  <c r="D18" i="78"/>
  <c r="D17" i="78"/>
  <c r="C39" i="75"/>
  <c r="D252" i="76"/>
  <c r="D101" i="76" l="1"/>
  <c r="D291" i="76"/>
  <c r="D175" i="76" l="1"/>
  <c r="D245" i="76"/>
  <c r="D284" i="76"/>
  <c r="D105" i="79" l="1"/>
  <c r="C43" i="75"/>
  <c r="D109" i="79"/>
  <c r="D26" i="76" l="1"/>
  <c r="D258" i="76" l="1"/>
  <c r="D47" i="68"/>
  <c r="D46" i="68"/>
  <c r="D45" i="68" s="1"/>
  <c r="D43" i="68"/>
  <c r="D42" i="68"/>
  <c r="D41" i="68"/>
  <c r="D40" i="68"/>
  <c r="D39" i="68"/>
  <c r="D38" i="68"/>
  <c r="D37" i="68"/>
  <c r="D36" i="68" s="1"/>
  <c r="D35" i="68"/>
  <c r="D34" i="68"/>
  <c r="D33" i="68"/>
  <c r="D32" i="68"/>
  <c r="D31" i="68"/>
  <c r="D30" i="68"/>
  <c r="D29" i="68"/>
  <c r="D28" i="68"/>
  <c r="D27" i="68"/>
  <c r="D26" i="68"/>
  <c r="D25" i="68"/>
  <c r="D24" i="68"/>
  <c r="D23" i="68"/>
  <c r="D22" i="68"/>
  <c r="D21" i="68"/>
  <c r="D20" i="68"/>
  <c r="D19" i="68"/>
  <c r="D18" i="68"/>
  <c r="D17" i="68"/>
  <c r="D16" i="68"/>
  <c r="D11" i="68" s="1"/>
  <c r="D10" i="68" s="1"/>
  <c r="D48" i="68" s="1"/>
  <c r="D15" i="68"/>
  <c r="D14" i="68"/>
  <c r="D13" i="68"/>
  <c r="D12" i="68"/>
  <c r="D31" i="60"/>
  <c r="D20" i="58"/>
  <c r="F31" i="57"/>
  <c r="D31" i="57"/>
  <c r="D30" i="57"/>
  <c r="C28" i="75"/>
  <c r="C26" i="75"/>
  <c r="C27" i="75"/>
  <c r="D43" i="57"/>
  <c r="E43" i="57"/>
  <c r="D90" i="78"/>
  <c r="D52" i="78" l="1"/>
  <c r="D51" i="78"/>
  <c r="D49" i="78"/>
  <c r="D46" i="78"/>
  <c r="D94" i="82" l="1"/>
  <c r="D93" i="82"/>
  <c r="D91" i="82"/>
  <c r="D79" i="82"/>
  <c r="D78" i="82" s="1"/>
  <c r="D77" i="82" s="1"/>
  <c r="D73" i="82"/>
  <c r="D68" i="82"/>
  <c r="D63" i="82" s="1"/>
  <c r="D62" i="82"/>
  <c r="D61" i="82" s="1"/>
  <c r="D58" i="82"/>
  <c r="D47" i="82" s="1"/>
  <c r="D37" i="82"/>
  <c r="D30" i="82"/>
  <c r="D25" i="82"/>
  <c r="D19" i="82"/>
  <c r="D16" i="82"/>
  <c r="D21" i="81"/>
  <c r="D20" i="81" s="1"/>
  <c r="D17" i="81"/>
  <c r="D13" i="81" s="1"/>
  <c r="D14" i="81"/>
  <c r="D160" i="79"/>
  <c r="D116" i="79"/>
  <c r="D113" i="79"/>
  <c r="D107" i="79"/>
  <c r="D92" i="79"/>
  <c r="D52" i="79"/>
  <c r="D20" i="76"/>
  <c r="D20" i="82" l="1"/>
  <c r="D95" i="82"/>
  <c r="D31" i="76"/>
  <c r="C44" i="75"/>
  <c r="D67" i="78" l="1"/>
  <c r="D66" i="78"/>
  <c r="D64" i="78"/>
  <c r="D61" i="78"/>
  <c r="D60" i="78"/>
  <c r="D40" i="78"/>
  <c r="D39" i="78"/>
  <c r="D37" i="78"/>
  <c r="D35" i="78"/>
  <c r="D34" i="78"/>
  <c r="D33" i="78"/>
  <c r="D32" i="78"/>
  <c r="D30" i="78"/>
  <c r="D29" i="78"/>
  <c r="D28" i="78"/>
  <c r="D27" i="78"/>
  <c r="D25" i="78"/>
  <c r="D31" i="80"/>
  <c r="D28" i="80"/>
  <c r="D26" i="80"/>
  <c r="D22" i="80"/>
  <c r="D20" i="80"/>
  <c r="D19" i="80"/>
  <c r="D12" i="80"/>
  <c r="D11" i="80" s="1"/>
  <c r="D41" i="60"/>
  <c r="D40" i="60"/>
  <c r="D39" i="60"/>
  <c r="D38" i="60"/>
  <c r="D37" i="60" s="1"/>
  <c r="D27" i="60"/>
  <c r="D25" i="60"/>
  <c r="D24" i="60"/>
  <c r="D23" i="60"/>
  <c r="D22" i="60"/>
  <c r="D20" i="60"/>
  <c r="D17" i="60"/>
  <c r="D16" i="60"/>
  <c r="D15" i="60"/>
  <c r="D13" i="60"/>
  <c r="D11" i="60"/>
  <c r="D54" i="62"/>
  <c r="D44" i="62"/>
  <c r="D41" i="62"/>
  <c r="D33" i="62"/>
  <c r="D27" i="62"/>
  <c r="D24" i="62"/>
  <c r="D20" i="62"/>
  <c r="D12" i="62"/>
  <c r="D49" i="58"/>
  <c r="D31" i="58"/>
  <c r="D27" i="58"/>
  <c r="D19" i="58"/>
  <c r="D18" i="58"/>
  <c r="D16" i="58"/>
  <c r="D12" i="58"/>
  <c r="D306" i="76"/>
  <c r="D305" i="76"/>
  <c r="D304" i="76"/>
  <c r="D303" i="76"/>
  <c r="D302" i="76"/>
  <c r="D301" i="76"/>
  <c r="D300" i="76"/>
  <c r="D299" i="76"/>
  <c r="D298" i="76"/>
  <c r="D297" i="76"/>
  <c r="D296" i="76"/>
  <c r="D264" i="76"/>
  <c r="D263" i="76"/>
  <c r="D262" i="76"/>
  <c r="D261" i="76"/>
  <c r="D260" i="76"/>
  <c r="D259" i="76"/>
  <c r="D257" i="76"/>
  <c r="D256" i="76"/>
  <c r="D255" i="76"/>
  <c r="D254" i="76"/>
  <c r="D250" i="76"/>
  <c r="D240" i="76"/>
  <c r="D239" i="76"/>
  <c r="D238" i="76"/>
  <c r="D237" i="76"/>
  <c r="D236" i="76"/>
  <c r="D195" i="76"/>
  <c r="D180" i="76"/>
  <c r="D179" i="76"/>
  <c r="D176" i="76"/>
  <c r="D174" i="76"/>
  <c r="D173" i="76"/>
  <c r="D166" i="76"/>
  <c r="D165" i="76"/>
  <c r="D163" i="76"/>
  <c r="D138" i="76"/>
  <c r="D136" i="76"/>
  <c r="D134" i="76"/>
  <c r="D132" i="76"/>
  <c r="D130" i="76"/>
  <c r="D129" i="76"/>
  <c r="D127" i="76"/>
  <c r="D126" i="76"/>
  <c r="D124" i="76"/>
  <c r="D122" i="76"/>
  <c r="D109" i="76"/>
  <c r="D104" i="76"/>
  <c r="D103" i="76"/>
  <c r="D102" i="76"/>
  <c r="D100" i="76"/>
  <c r="D98" i="76"/>
  <c r="D96" i="76"/>
  <c r="D95" i="76"/>
  <c r="D94" i="76"/>
  <c r="D33" i="76"/>
  <c r="D32" i="76"/>
  <c r="D29" i="76"/>
  <c r="D27" i="76"/>
  <c r="D25" i="76"/>
  <c r="D24" i="76"/>
  <c r="D22" i="76"/>
  <c r="D21" i="76"/>
  <c r="D36" i="76"/>
  <c r="D41" i="76"/>
  <c r="D43" i="76"/>
  <c r="D46" i="76"/>
  <c r="D54" i="76"/>
  <c r="D55" i="76"/>
  <c r="D64" i="76"/>
  <c r="D66" i="76"/>
  <c r="D91" i="76"/>
  <c r="D93" i="76"/>
  <c r="D117" i="76"/>
  <c r="D114" i="76" s="1"/>
  <c r="D120" i="76"/>
  <c r="D141" i="76"/>
  <c r="D143" i="76"/>
  <c r="D144" i="76"/>
  <c r="D155" i="76"/>
  <c r="D186" i="76"/>
  <c r="D188" i="76"/>
  <c r="D192" i="76"/>
  <c r="D189" i="76" s="1"/>
  <c r="D202" i="76"/>
  <c r="D203" i="76"/>
  <c r="D221" i="76"/>
  <c r="D222" i="76"/>
  <c r="D227" i="76"/>
  <c r="D228" i="76"/>
  <c r="D230" i="76"/>
  <c r="D233" i="76"/>
  <c r="D234" i="76"/>
  <c r="D235" i="76"/>
  <c r="D241" i="76"/>
  <c r="D242" i="76"/>
  <c r="D243" i="76"/>
  <c r="D244" i="76"/>
  <c r="D248" i="76"/>
  <c r="D271" i="76"/>
  <c r="D268" i="76" s="1"/>
  <c r="D266" i="76" s="1"/>
  <c r="D265" i="76" s="1"/>
  <c r="D277" i="76"/>
  <c r="D276" i="76" s="1"/>
  <c r="D286" i="76"/>
  <c r="D292" i="76"/>
  <c r="D17" i="76"/>
  <c r="D16" i="76"/>
  <c r="D15" i="76"/>
  <c r="D14" i="76"/>
  <c r="D13" i="76"/>
  <c r="D12" i="76"/>
  <c r="D11" i="76"/>
  <c r="E62" i="57"/>
  <c r="D62" i="57"/>
  <c r="E52" i="57"/>
  <c r="F50" i="57"/>
  <c r="F49" i="57"/>
  <c r="F48" i="57"/>
  <c r="F47" i="57"/>
  <c r="D46" i="57"/>
  <c r="D40" i="57"/>
  <c r="D37" i="57"/>
  <c r="F36" i="57"/>
  <c r="E36" i="57"/>
  <c r="D29" i="57"/>
  <c r="F27" i="57"/>
  <c r="E27" i="57"/>
  <c r="D27" i="57"/>
  <c r="F25" i="57"/>
  <c r="F24" i="57"/>
  <c r="E24" i="57"/>
  <c r="D24" i="57"/>
  <c r="F23" i="57"/>
  <c r="F22" i="57"/>
  <c r="F20" i="57"/>
  <c r="E20" i="57"/>
  <c r="D20" i="57"/>
  <c r="F16" i="57"/>
  <c r="F15" i="57"/>
  <c r="F14" i="57"/>
  <c r="F12" i="57"/>
  <c r="E12" i="57"/>
  <c r="F10" i="57"/>
  <c r="D49" i="76" l="1"/>
  <c r="D142" i="76"/>
  <c r="D140" i="76" s="1"/>
  <c r="D285" i="76"/>
  <c r="D282" i="76" s="1"/>
  <c r="D63" i="76"/>
  <c r="D25" i="80"/>
  <c r="D97" i="76"/>
  <c r="D90" i="76" s="1"/>
  <c r="D247" i="76"/>
  <c r="D246" i="76" s="1"/>
  <c r="D213" i="76"/>
  <c r="D212" i="76" s="1"/>
  <c r="D210" i="76" s="1"/>
  <c r="D200" i="76"/>
  <c r="D197" i="76" s="1"/>
  <c r="D196" i="76" s="1"/>
  <c r="D40" i="76"/>
  <c r="D182" i="76"/>
  <c r="D172" i="76" s="1"/>
  <c r="C47" i="75" l="1"/>
  <c r="C46" i="75"/>
  <c r="C41" i="75"/>
  <c r="C40" i="75"/>
  <c r="C34" i="75"/>
  <c r="C30" i="75"/>
  <c r="C25" i="75"/>
  <c r="C20" i="75"/>
  <c r="C17" i="75"/>
  <c r="C13" i="75"/>
  <c r="C10" i="75"/>
  <c r="C9" i="75" s="1"/>
  <c r="D159" i="79"/>
  <c r="D158" i="79" s="1"/>
  <c r="D156" i="79"/>
  <c r="D155" i="79" s="1"/>
  <c r="D153" i="79"/>
  <c r="D151" i="79"/>
  <c r="D148" i="79"/>
  <c r="D146" i="79"/>
  <c r="D144" i="79"/>
  <c r="D141" i="79"/>
  <c r="D140" i="79" s="1"/>
  <c r="D138" i="79"/>
  <c r="D136" i="79"/>
  <c r="D133" i="79"/>
  <c r="D132" i="79"/>
  <c r="D130" i="79"/>
  <c r="D114" i="79"/>
  <c r="D112" i="79"/>
  <c r="D110" i="79"/>
  <c r="D108" i="79"/>
  <c r="D106" i="79"/>
  <c r="D104" i="79"/>
  <c r="D99" i="79"/>
  <c r="D98" i="79"/>
  <c r="D97" i="79" s="1"/>
  <c r="D96" i="79"/>
  <c r="D95" i="79" s="1"/>
  <c r="D94" i="79"/>
  <c r="D93" i="79" s="1"/>
  <c r="D91" i="79"/>
  <c r="D90" i="79"/>
  <c r="D85" i="79" s="1"/>
  <c r="D84" i="79"/>
  <c r="D83" i="79" s="1"/>
  <c r="D82" i="79"/>
  <c r="D81" i="79" s="1"/>
  <c r="D80" i="79"/>
  <c r="D79" i="79" s="1"/>
  <c r="D77" i="79"/>
  <c r="D50" i="79"/>
  <c r="D43" i="79"/>
  <c r="D41" i="79"/>
  <c r="D35" i="79"/>
  <c r="D34" i="79"/>
  <c r="D31" i="79"/>
  <c r="D30" i="79"/>
  <c r="D27" i="79"/>
  <c r="D20" i="79"/>
  <c r="D19" i="79"/>
  <c r="D18" i="79"/>
  <c r="D17" i="79"/>
  <c r="D16" i="79"/>
  <c r="D11" i="79"/>
  <c r="C38" i="75" l="1"/>
  <c r="C37" i="75" s="1"/>
  <c r="C19" i="75"/>
  <c r="D76" i="79"/>
  <c r="D129" i="79"/>
  <c r="D143" i="79"/>
  <c r="D135" i="79"/>
  <c r="D14" i="79"/>
  <c r="D10" i="79" s="1"/>
  <c r="D29" i="79"/>
  <c r="D150" i="79"/>
  <c r="C36" i="75"/>
  <c r="C45" i="75" s="1"/>
  <c r="D161" i="79" l="1"/>
  <c r="D84" i="78" l="1"/>
  <c r="D24" i="81"/>
  <c r="D23" i="81" s="1"/>
  <c r="D11" i="81"/>
  <c r="D10" i="81" s="1"/>
  <c r="D26" i="81" s="1"/>
  <c r="D36" i="80"/>
  <c r="D35" i="80" s="1"/>
  <c r="D10" i="80"/>
  <c r="D38" i="80" l="1"/>
  <c r="D43" i="60" l="1"/>
  <c r="D34" i="58"/>
  <c r="D18" i="76"/>
  <c r="C49" i="57"/>
  <c r="C36" i="57"/>
  <c r="D26" i="78" l="1"/>
  <c r="D10" i="76" l="1"/>
  <c r="D307" i="76" s="1"/>
  <c r="G64" i="57" l="1"/>
  <c r="F64" i="57"/>
  <c r="E64" i="57"/>
  <c r="C63" i="57"/>
  <c r="C62" i="57"/>
  <c r="C61" i="57"/>
  <c r="C60" i="57"/>
  <c r="C59" i="57"/>
  <c r="C58" i="57"/>
  <c r="C57" i="57"/>
  <c r="C56" i="57"/>
  <c r="C55" i="57"/>
  <c r="C54" i="57"/>
  <c r="C53" i="57"/>
  <c r="C52" i="57"/>
  <c r="C51" i="57"/>
  <c r="C50" i="57"/>
  <c r="C48" i="57"/>
  <c r="C47" i="57"/>
  <c r="C46" i="57"/>
  <c r="C45" i="57"/>
  <c r="C44" i="57"/>
  <c r="C43" i="57"/>
  <c r="C42" i="57"/>
  <c r="C41" i="57"/>
  <c r="C40" i="57"/>
  <c r="C39" i="57"/>
  <c r="C38" i="57"/>
  <c r="C37" i="57"/>
  <c r="C35" i="57"/>
  <c r="C34" i="57"/>
  <c r="C33" i="57"/>
  <c r="C32" i="57"/>
  <c r="C31" i="57"/>
  <c r="C30" i="57"/>
  <c r="C29" i="57"/>
  <c r="C28" i="57"/>
  <c r="C27" i="57"/>
  <c r="C26" i="57"/>
  <c r="C25" i="57"/>
  <c r="C24" i="57"/>
  <c r="C23" i="57"/>
  <c r="C22" i="57"/>
  <c r="C21" i="57"/>
  <c r="C20" i="57"/>
  <c r="C19" i="57"/>
  <c r="C18" i="57"/>
  <c r="C17" i="57"/>
  <c r="C16" i="57"/>
  <c r="C15" i="57"/>
  <c r="C14" i="57"/>
  <c r="C13" i="57"/>
  <c r="C12" i="57"/>
  <c r="C11" i="57"/>
  <c r="C10" i="57"/>
  <c r="D64" i="57" l="1"/>
  <c r="C64" i="57" l="1"/>
  <c r="D101" i="78" l="1"/>
  <c r="D99" i="78"/>
  <c r="D97" i="78"/>
  <c r="D95" i="78"/>
  <c r="D93" i="78"/>
  <c r="D91" i="78"/>
  <c r="D89" i="78"/>
  <c r="D87" i="78"/>
  <c r="D85" i="78"/>
  <c r="D83" i="78"/>
  <c r="D81" i="78"/>
  <c r="D79" i="78"/>
  <c r="D77" i="78"/>
  <c r="D75" i="78"/>
  <c r="D71" i="78"/>
  <c r="D59" i="78"/>
  <c r="D45" i="78"/>
  <c r="D43" i="78"/>
  <c r="D41" i="78"/>
  <c r="D38" i="78"/>
  <c r="D24" i="78"/>
  <c r="D22" i="78"/>
  <c r="D16" i="78"/>
  <c r="D13" i="78"/>
  <c r="D11" i="78"/>
  <c r="D10" i="78" l="1"/>
  <c r="D58" i="78"/>
  <c r="D74" i="78"/>
  <c r="D15" i="78"/>
  <c r="D103" i="78" l="1"/>
  <c r="D42" i="60" l="1"/>
  <c r="D32" i="62"/>
  <c r="D28" i="58"/>
  <c r="D26" i="58"/>
  <c r="D24" i="58"/>
  <c r="D10" i="60" l="1"/>
  <c r="D44" i="60" s="1"/>
  <c r="D9" i="62"/>
  <c r="D43" i="62"/>
  <c r="D34" i="62"/>
  <c r="D30" i="58"/>
  <c r="D45" i="58"/>
  <c r="D9" i="58"/>
  <c r="D39" i="58"/>
  <c r="D50" i="58" l="1"/>
  <c r="D56" i="62"/>
</calcChain>
</file>

<file path=xl/sharedStrings.xml><?xml version="1.0" encoding="utf-8"?>
<sst xmlns="http://schemas.openxmlformats.org/spreadsheetml/2006/main" count="1449" uniqueCount="810">
  <si>
    <t>Eil. Nr.</t>
  </si>
  <si>
    <t>Kėdainių bendruomenės socialinis centras</t>
  </si>
  <si>
    <t>Dotnuvos slaugos namai</t>
  </si>
  <si>
    <t xml:space="preserve">Kėdainių rajono savivaldybės administracija </t>
  </si>
  <si>
    <t>Kėdainių rajono savivaldybės administracijos Dotnuvos seniūnija</t>
  </si>
  <si>
    <t>Kėdainių rajono savivaldybės administracijos Gudžiūnų seniūnija</t>
  </si>
  <si>
    <t>Kėdainių rajono savivaldybės administracijos Krakių seniūnija</t>
  </si>
  <si>
    <t>Kėdainių rajono savivaldybės administracijos Josvainių seniūnija</t>
  </si>
  <si>
    <t>Kėdainių rajono savivaldybės administracijos Kėdainių miesto seniūnija</t>
  </si>
  <si>
    <t>Kėdainių rajono savivaldybės administracijos Pelėdnagių seniūnija</t>
  </si>
  <si>
    <t>Kėdainių rajono savivaldybės administracijos Pernaravos seniūnija</t>
  </si>
  <si>
    <t>Kėdainių rajono savivaldybės administracijos Šėtos seniūnija</t>
  </si>
  <si>
    <t>Kėdainių rajono savivaldybės administracijos Surviliškio seniūnija</t>
  </si>
  <si>
    <t>Kėdainių rajono savivaldybės administracijos Truskavos seniūnija</t>
  </si>
  <si>
    <t>Kėdainių rajono savivaldybės administracijos Vilainių seniūnija</t>
  </si>
  <si>
    <t>Josvainių socialinis ir ugdymo centras</t>
  </si>
  <si>
    <t>Asignavimų valdytojas</t>
  </si>
  <si>
    <t>Iš viso</t>
  </si>
  <si>
    <t>2</t>
  </si>
  <si>
    <t>Šėtos socialinis ir ugdymo  centras</t>
  </si>
  <si>
    <t>Iš viso asignavimų</t>
  </si>
  <si>
    <t>03</t>
  </si>
  <si>
    <t>SOCIALINĖS APSAUGOS PLĖTOJIMAS</t>
  </si>
  <si>
    <t>11</t>
  </si>
  <si>
    <t>SAVIVALDYBĖS VALDYMO TOBULINIMAS</t>
  </si>
  <si>
    <t>Kėdainių rajono savivaldybės priešgaisrinė tarnyba</t>
  </si>
  <si>
    <t>09</t>
  </si>
  <si>
    <t xml:space="preserve"> ŽEMĖS ŪKIO PLĖTRA IR MELIORACIJA</t>
  </si>
  <si>
    <t>11.1</t>
  </si>
  <si>
    <t>11.2</t>
  </si>
  <si>
    <t>11.3</t>
  </si>
  <si>
    <t>11.4</t>
  </si>
  <si>
    <t>Kėdainių r. Krakių Mikalojaus Katkaus gimnazija</t>
  </si>
  <si>
    <t>Kėdainių r. Dotnuvos pagrindinė mokykla</t>
  </si>
  <si>
    <t>Kėdainių r. Surviliškio Vinco Svirskio pagrindinė mokykla</t>
  </si>
  <si>
    <t>Kėdainių krašto muziejus</t>
  </si>
  <si>
    <t>Kėdainių kultūros centras</t>
  </si>
  <si>
    <t>Krakių kultūros centras</t>
  </si>
  <si>
    <t>Kėdainių šviesioji gimnazija</t>
  </si>
  <si>
    <t>Kėdainių kalbų mokykla</t>
  </si>
  <si>
    <t>Kėdainių muzikos  mokykla</t>
  </si>
  <si>
    <t>Akademijos kultūros centras</t>
  </si>
  <si>
    <t>Josvainių kultūros centras</t>
  </si>
  <si>
    <t>Šėtos kultūros centras</t>
  </si>
  <si>
    <t>Truskavos kultūros centras</t>
  </si>
  <si>
    <t>Kėdainių rajono savivaldybės Mikalojaus Daukšos viešoji biblioteka</t>
  </si>
  <si>
    <t>Kėdainių dailės mokykla</t>
  </si>
  <si>
    <t>01</t>
  </si>
  <si>
    <t>ŠVIETIMAS IR UGDYMAS</t>
  </si>
  <si>
    <t>02</t>
  </si>
  <si>
    <t>SVEIKATOS APSAUGA</t>
  </si>
  <si>
    <t>04</t>
  </si>
  <si>
    <t>05</t>
  </si>
  <si>
    <t>KULTŪROS VEIKLOS PLĖTRA</t>
  </si>
  <si>
    <t>07</t>
  </si>
  <si>
    <t>INFRASTRUKTŪROS OBJEKTŲ  PRIEŽIŪRA IR PLĖTRA</t>
  </si>
  <si>
    <t>08</t>
  </si>
  <si>
    <t>APLINKOS APSAUGA</t>
  </si>
  <si>
    <t>10</t>
  </si>
  <si>
    <t>PARAMA VERSLUI IR VERSLO PLĖTRA</t>
  </si>
  <si>
    <t>Kėdainių rajono savivaldybės kontrolės ir audito tarnyba</t>
  </si>
  <si>
    <t xml:space="preserve">Kėdainių rajono savivaldybės administracija  </t>
  </si>
  <si>
    <t>06</t>
  </si>
  <si>
    <t>KULTŪROS PAVELDO IŠSAUGOJIMAS, TURIZMO SKATINIMAS IR VYSTYMAS</t>
  </si>
  <si>
    <t>Kėdainių suaugusiųjų ir jaunimo mokymo centras</t>
  </si>
  <si>
    <t>Kėdainių sporto centras</t>
  </si>
  <si>
    <t xml:space="preserve">                                                                                         ___________________________</t>
  </si>
  <si>
    <t>3 priedas</t>
  </si>
  <si>
    <t>Eil.   Nr.</t>
  </si>
  <si>
    <t>Remontuoti objektus pagal administracijos direktoriaus įsakymus</t>
  </si>
  <si>
    <t>Likviduoti avarinius židinius</t>
  </si>
  <si>
    <t>(tūkst. Eur)</t>
  </si>
  <si>
    <t xml:space="preserve">Kėdainių švietimo pagalbos tarnyba </t>
  </si>
  <si>
    <t>Kėdainių r. Akademijos gimnazija</t>
  </si>
  <si>
    <t>Kėdainių r. Josvainių gimnazija</t>
  </si>
  <si>
    <t>Kėdainių r. Labūnavos pagrindinė mokykla</t>
  </si>
  <si>
    <t>Kėdainių r. Šėtos  gimnazija</t>
  </si>
  <si>
    <t>Vykdyti savivaldybės viešųjų teritorijų tvarkymą</t>
  </si>
  <si>
    <t>Kėdainių pagalbos šeimai centras</t>
  </si>
  <si>
    <t>Kėdainių lopšelis-darželis „Pasaka“</t>
  </si>
  <si>
    <t>Kėdainių lopšelis-darželis „Puriena“</t>
  </si>
  <si>
    <t>Kėdainių lopšelis-darželis „Varpelis“</t>
  </si>
  <si>
    <t>Kėdainių lopšelis-darželis „Vyturėlis“</t>
  </si>
  <si>
    <t>Kėdainių lopšelis-darželis „Žilvitis“</t>
  </si>
  <si>
    <t>Kėdainių lopšelis-darželis „Vaikystė“</t>
  </si>
  <si>
    <t>Lietuvos sporto universiteto Kėdainių „Aušros“ progimnazija</t>
  </si>
  <si>
    <t>Kėdainių „Ryto“ progimnazija</t>
  </si>
  <si>
    <t>Kėdainių „Atžalyno“ gimnazija</t>
  </si>
  <si>
    <t>Kėdainių lopšelis-darželis „Aviliukas“</t>
  </si>
  <si>
    <t xml:space="preserve">Kėdainių rajono savivaldybės administracija iš viso: </t>
  </si>
  <si>
    <t>Kėdainių rajono savivaldybės visuomenės sveikatos biuras iš viso:</t>
  </si>
  <si>
    <t>Kėdainių rajono savivaldybės administracija iš viso :</t>
  </si>
  <si>
    <t>Kėdainių rajono savivaldybės administracija iš viso:</t>
  </si>
  <si>
    <t>11.5</t>
  </si>
  <si>
    <t>Mokesčiai už valstybinius gamtos išteklius</t>
  </si>
  <si>
    <t>Kėdainių r. Vilainių mokykla-darželis „Obelėlė“</t>
  </si>
  <si>
    <t>Mokėti palūkanas</t>
  </si>
  <si>
    <t xml:space="preserve">SPORTO VEIKLOS PLĖTRA </t>
  </si>
  <si>
    <t>Kita tikslinė dotacija mokyklos specialiųjų ugdymosi poreikių turintiems mokiniams</t>
  </si>
  <si>
    <t>2 priedas</t>
  </si>
  <si>
    <t>Aisgnavimų valdytojas</t>
  </si>
  <si>
    <t xml:space="preserve">Iš jų: </t>
  </si>
  <si>
    <t>prekės ir paslaugos</t>
  </si>
  <si>
    <t xml:space="preserve"> ilgalaikio ir trumpalaikio materialiojo turto nuoma</t>
  </si>
  <si>
    <t>už išlaikymą švietimo, socialinės apsaugos ir kitose įstaigose</t>
  </si>
  <si>
    <t>Kėdainių lopšelis-darželis  „Aviliukas“</t>
  </si>
  <si>
    <t>Kėdainių r. Šėtos gimnazija</t>
  </si>
  <si>
    <t>Kėdainių švietimo pagalbos tarnyba</t>
  </si>
  <si>
    <t xml:space="preserve">Šėtos socialinis ir ugdymo centras </t>
  </si>
  <si>
    <t>Kėdainių rajono savivaldybės visuomenės sveikatos biuras</t>
  </si>
  <si>
    <t>Iš viso pajamų</t>
  </si>
  <si>
    <t xml:space="preserve">                                                                   _____________________________________                                                                                       </t>
  </si>
  <si>
    <t xml:space="preserve">                                                             ____________________________________</t>
  </si>
  <si>
    <t>6 priedas</t>
  </si>
  <si>
    <t xml:space="preserve">                                                                    ___________________________________________</t>
  </si>
  <si>
    <t>8 priedas</t>
  </si>
  <si>
    <t>02.1</t>
  </si>
  <si>
    <t>02.2</t>
  </si>
  <si>
    <t>Neveiksnių asmenų būklės peržiūrėjimui</t>
  </si>
  <si>
    <t>03.1</t>
  </si>
  <si>
    <t>Socialinėms paslaugoms:
Socialinei globai asmenims su sunkia negalia</t>
  </si>
  <si>
    <t>03.2</t>
  </si>
  <si>
    <t>03.3</t>
  </si>
  <si>
    <t>Socialinių išmokų ir kompensacijų skaičiavimas ir mokėjimas</t>
  </si>
  <si>
    <t>03.4</t>
  </si>
  <si>
    <t>Išlaidoms už įsigytus produktus, mokinio reikmenis ir socialinei paramai mokiniams administruoti</t>
  </si>
  <si>
    <t>03.5</t>
  </si>
  <si>
    <t>Būsto nuomos ar išperkamosios būsto nuomos mokesčių dalies kompensacijoms</t>
  </si>
  <si>
    <t>09.1</t>
  </si>
  <si>
    <t>Žemės ūkio funkcijoms vykdyti</t>
  </si>
  <si>
    <t>09.2</t>
  </si>
  <si>
    <t>iš jų: polderiams eksploatuoti</t>
  </si>
  <si>
    <t>Priešgaisrinių tarnybų organizavimas</t>
  </si>
  <si>
    <t>Gyventojų registro tvarkymas ir duomenų valstybės registrui teikimas</t>
  </si>
  <si>
    <t>Archyvinių dokumentų tvarkymas</t>
  </si>
  <si>
    <t>Civilinės būklės aktų registravimas</t>
  </si>
  <si>
    <t>Civilinės saugos organizavimas</t>
  </si>
  <si>
    <t>11.6</t>
  </si>
  <si>
    <t>Valstybinės kalbos vartojimo ir taisyklingumo kontrolė</t>
  </si>
  <si>
    <t>11.7</t>
  </si>
  <si>
    <t>Mobilizacijos administravimas</t>
  </si>
  <si>
    <t>11.9</t>
  </si>
  <si>
    <t>11.10</t>
  </si>
  <si>
    <t>11.11</t>
  </si>
  <si>
    <t>11.12</t>
  </si>
  <si>
    <t>Gyvenamosios vietos deklaravimas</t>
  </si>
  <si>
    <t xml:space="preserve">                                                                                               ________________________________</t>
  </si>
  <si>
    <t>Vykdyti aplinkos apsaugos rėmimo specialiąją programą (pridedama 13 priedas)</t>
  </si>
  <si>
    <t>5 priedas</t>
  </si>
  <si>
    <t>Kėdainių "Ryto" progimnazija</t>
  </si>
  <si>
    <t xml:space="preserve">                                                                 ___________________________________________</t>
  </si>
  <si>
    <t>Specialioji tikslinė dotacija ugdymo reikmėms finansuoti</t>
  </si>
  <si>
    <t>Kėdainių švietimo pagalbos tarnyba iš viso:</t>
  </si>
  <si>
    <t>Šėtos socialinis ir ugdymo centras</t>
  </si>
  <si>
    <t xml:space="preserve">  </t>
  </si>
  <si>
    <t xml:space="preserve">Finansuoti vaikų vasaros stovyklų ir kitų neformaliojo vaikų švietimo veiklų programas  </t>
  </si>
  <si>
    <t>Grąžinti valstybės biudžeto lėšas (dotaciją)</t>
  </si>
  <si>
    <t>iš jų: užimtumo didinimo programai įgyvendinti</t>
  </si>
  <si>
    <t>01.1</t>
  </si>
  <si>
    <t>01.2</t>
  </si>
  <si>
    <t>Koordinuotai teikiamų paslaugų vaikams nuo gimimo iki 18 metų (turintiems didelių ir labai didelių specialiųjų ugdymosi poreikių − iki 21 metų) ir vaiko atstovams koordinavimas</t>
  </si>
  <si>
    <t>04.1</t>
  </si>
  <si>
    <t xml:space="preserve">                                                                      Kėdainių rajono savivaldybės tarybos</t>
  </si>
  <si>
    <t xml:space="preserve">                                                 1 priedas</t>
  </si>
  <si>
    <t xml:space="preserve">             Pajamų pavadinimas</t>
  </si>
  <si>
    <t xml:space="preserve">Gyventojų pajamų mokestis </t>
  </si>
  <si>
    <t>Žemės mokestis</t>
  </si>
  <si>
    <t>Paveldimo turto mokestis</t>
  </si>
  <si>
    <t>Nekilnojamojo turto mokestis</t>
  </si>
  <si>
    <t>Mokestis už aplinkos teršimą</t>
  </si>
  <si>
    <t>Kita tikslinė dotacija, iš jos:</t>
  </si>
  <si>
    <t>Dividendai</t>
  </si>
  <si>
    <t xml:space="preserve">Nuomos mokestis už valstybinę žemę ir valstybinio vidaus  vandenų fondo vandens telkinius  </t>
  </si>
  <si>
    <t>Mokesčiai už medžiojamųjų gyvūnų išteklius</t>
  </si>
  <si>
    <t>Pajamos už prekes ir paslaugas</t>
  </si>
  <si>
    <t>Pajamos už ilgalaikio ir trumpalaikio materialiojo turto nuomą</t>
  </si>
  <si>
    <t xml:space="preserve">Įmokos už išlaikymą švietimo, socialinės apsaugos ir kitose  įstaigose </t>
  </si>
  <si>
    <t>Valstybės rinkliava</t>
  </si>
  <si>
    <t>Vietinė rinkliava</t>
  </si>
  <si>
    <t>Pajamos iš baudų ir konfiskacijos</t>
  </si>
  <si>
    <t>________________________________________________</t>
  </si>
  <si>
    <t>Organizuoti ir vykdyti mokymosi pasiekimų patikrinimus</t>
  </si>
  <si>
    <t>Kėdainių švietimo pagalbos tarnyba (pedagoginė - psichologinė tarnyba)</t>
  </si>
  <si>
    <t xml:space="preserve"> VšĮ Alternatyviojo ugdymo centras</t>
  </si>
  <si>
    <t xml:space="preserve"> VšĮ „Pažinimo taku“</t>
  </si>
  <si>
    <t>Kėdainių „Spindulio“ mokykla</t>
  </si>
  <si>
    <t>Progra- mos kodas</t>
  </si>
  <si>
    <t xml:space="preserve">                                                               Kėdainių rajono savivaldybės tarybos</t>
  </si>
  <si>
    <t>9 priedas</t>
  </si>
  <si>
    <t>10 priedas</t>
  </si>
  <si>
    <t xml:space="preserve">                                                    Kėdainių rajono savivaldybės tarybos</t>
  </si>
  <si>
    <t>Gyventojų pajamų mokestis, mokamas už pajamas, gautas iš veiklos, kuria verčiamasi turint verslo liudijimą</t>
  </si>
  <si>
    <t>Ugdymo reikmėms finansuoti</t>
  </si>
  <si>
    <t>11.8</t>
  </si>
  <si>
    <t>03.6</t>
  </si>
  <si>
    <t xml:space="preserve">Socialinėms paslaugoms:
Teikti šeimoms individualios priežiūros darbuotojų paslaugas </t>
  </si>
  <si>
    <t>Įgyvendinti savarankiško gyvenimo namų paslaugų senyvo amžiaus asmenims teikimo programą</t>
  </si>
  <si>
    <t>iš jų: dalyvauti Žydų kultūros paveldo kelio asociacijos veikloje ir puoselėti žydų kultūros paveldo atminimą Kėdainiuose</t>
  </si>
  <si>
    <t>Finansuoti sporto šakų programas, iš jų:</t>
  </si>
  <si>
    <t>Duomenų teikimas suteiktos valstybės pagalbos registrui</t>
  </si>
  <si>
    <t>03.7</t>
  </si>
  <si>
    <t>05.1</t>
  </si>
  <si>
    <t>08.1</t>
  </si>
  <si>
    <t>iš jų: vykdyti socialinio - emocinio ugdymo programas</t>
  </si>
  <si>
    <t>Kita dotacija neformaliajam vaikų švietimui</t>
  </si>
  <si>
    <t>11.13</t>
  </si>
  <si>
    <t>107.1</t>
  </si>
  <si>
    <t>107.2</t>
  </si>
  <si>
    <t>Kita dotacija viešosios paskirties rekreacijai ir poilsiui skirtų valstybės miško žemės sklypų priežiūros, apsaugos ir tvarkymo darbams Kėdainių mieste</t>
  </si>
  <si>
    <t xml:space="preserve">                                                                          Kėdainių rajono savivaldybės tarybos</t>
  </si>
  <si>
    <t xml:space="preserve">                                                                     Kėdainių rajono savivaldybės tarybos</t>
  </si>
  <si>
    <t>Kita dotacija išlaidoms, susijusioms su ugdymu, maitinimu ir pavėžėjimu socialinę riziką patiriantiems vaikams ikimokykliniame ugdyme</t>
  </si>
  <si>
    <t>Kita dotacija įgyvendinti valstybei nuosavybės teise priklausančių žemės savininkų ir kitų naudotojų žemėje esančių melioracijos statinių rekonstravimo ir remonto darbus</t>
  </si>
  <si>
    <t xml:space="preserve">IŠ BIUDŽETO IŠLAIKOMŲ ĮSTAIGŲ 2024 METŲ PAJAMOS UŽ PREKES IR  PASLAUGAS, UŽ ILGALAIKIO IR TRUMPALAIKIO MATERIALIOJO TURTO NUOMĄ IR UŽ IŠLAIKYMĄ ŠVIETIMO, SOCIALINĖS APSAUGOS IR KITOSE ĮSTAIGOSE </t>
  </si>
  <si>
    <t xml:space="preserve"> 2024 METŲ ASIGNAVIMAI ĮSTAIGOMS IŠ PAJAMŲ, GAUTŲ UŽ PREKES IR PASLAUGAS </t>
  </si>
  <si>
    <t>2024 METŲ VALSTYBĖS BIUDŽETO SPECIALIOS TIKSLINĖS DOTACIJOS SAVIVALDYBĖS BIUDŽETUI UGDYMO REIKMĖMS FINANSUOTI ASIGNAVIMAI</t>
  </si>
  <si>
    <t>27.1</t>
  </si>
  <si>
    <t>27.2</t>
  </si>
  <si>
    <t>27.3</t>
  </si>
  <si>
    <t>27.4</t>
  </si>
  <si>
    <t xml:space="preserve"> 2024 METŲ ASIGNAVIMAI ĮSTAIGOMS IŠ PAJAMŲ, GAUTŲ UŽ ILGALAIKIO IR TRUMPALAIKIO MATERIALIOJO TURTO NUOMĄ</t>
  </si>
  <si>
    <t>2024 METŲ ASIGNAVIMAI ĮSTAIGOMS IŠ PAJAMŲ, GAUTŲ UŽ IŠLAIKYMĄ ŠVIETIMO, SOCIALINĖS APSAUGOS IR KITOSE ĮSTAIGOSE</t>
  </si>
  <si>
    <t>2024 METŲ VALSTYBĖS BIUDŽETO SPECIALIOS TIKSLINĖS DOTACIJOS SAVIVALDYBĖS BIUDŽETUI VALSTYBINĖMS (VALSTYBĖS PERDUOTOMS SAVIVALDYBEI) FUNKCIJOMS ATLIKTI ASIGNAVIMAI</t>
  </si>
  <si>
    <t xml:space="preserve"> Sveikos gyvensenos plėtojimui bei sveikos gyvensebos įgūdžių ugdymui įstaigose ir bendruomenėse, visuomenės sveikatos stebėsenos vykdymui savivaldybėse</t>
  </si>
  <si>
    <t xml:space="preserve">Socialinėms paslaugoms:
 Teikti socialinę priežiūrą šeimoms </t>
  </si>
  <si>
    <t>Kompensacijų nepriklausomybės gynėjams mokėjimui</t>
  </si>
  <si>
    <t>Užimtumo didinimo programų įgyvendinimui</t>
  </si>
  <si>
    <t>Jaunimo politikos įgyvendinimas</t>
  </si>
  <si>
    <t>Pirminės valstybės garantuojamos teisinės pagalbos teikimas</t>
  </si>
  <si>
    <t>Erdvinių duomenų rinkinio tvarkymas</t>
  </si>
  <si>
    <t>11.14</t>
  </si>
  <si>
    <t>Savivaldybės teritorijoje esančių miestų ir miestelių teritorijų ribose valstybinės žemės patikėtinio funkcijos atlikimas</t>
  </si>
  <si>
    <t>Kėdainių rajono savivaldybės 2024 m. biudžeto asignavimai investicijų projektams ir remonto darbams finansuoti pagal objektus:</t>
  </si>
  <si>
    <t>iš jų: vykdyti socialinės paramos 2024 m. programą</t>
  </si>
  <si>
    <t>KĖDAINIŲ RAJONO SAVIVALDYBĖS 2024 METŲ BIUDŽETO ASIGNAVIMAI  SAVARANKIŠKOMS FUNKCIJOMS ATLIKTI</t>
  </si>
  <si>
    <t>Pėsčiųjų ir dviračių tako tarp J. Basanavičiaus g. ir Josvainių g. įrengimui</t>
  </si>
  <si>
    <t xml:space="preserve">E. sveikatos informacinės sistemos palaikymo ir tobulinimo VšĮ Kėdainių PSPC 2024–2026 m. programa </t>
  </si>
  <si>
    <t xml:space="preserve">E. sveikatos informacinės sistemos palaikymo ir tobulinimo VšĮ Kėdainių ligoninė 2024–2026 m. programa </t>
  </si>
  <si>
    <t>Mokytojų ir pagalbos mokiniui specialistų  motyvacijos programos įgyvendinimas</t>
  </si>
  <si>
    <t>Gabių mokinių skatinimas</t>
  </si>
  <si>
    <t>Priklausomybę sukeliančių medžiagų vartojimo mažinimo ir prevencijos programos priemonių įgyvendinimas</t>
  </si>
  <si>
    <t>Saugių ugdymo sąlygų įstaigose, vykdančiose ugdymo programas, užtikrinimas</t>
  </si>
  <si>
    <t xml:space="preserve">Vaikų maitinimo ekologiškais ir pagal nacionalinę maisto kokybės sistemą pagamintais produktais  Kėdainių lopšelyje-darželyje "Žilvitis" organizavimas (dalyvavimas projekte) </t>
  </si>
  <si>
    <t xml:space="preserve">Mokyklų, organizuojančių maitinimą savarankiškai, finansavimas </t>
  </si>
  <si>
    <t>Kėdainių šviesiosios gimnazijos pastato Kėdainiuose, Didžioji g. 60, įveiklinimas</t>
  </si>
  <si>
    <t>Kėdainių lopšelio-darželio „Varpelis“ (Pavasario g. 8, Kėdainiai) pastato energinio efektyvumo didinimas, vidaus erdvių modernizavimas</t>
  </si>
  <si>
    <t>Kėdainių lopšelio-darželio „Vyturėlis“ (Josvainių g. 53, Kėdainiai) pastato energinio efektyvumo didinimas, vidaus erdvių modernizavimas</t>
  </si>
  <si>
    <t>Kėdainių muzikos mokyklos pastato fasado, vidaus erdvių atnaujinimas</t>
  </si>
  <si>
    <t xml:space="preserve">Šėtos gimnazijos I aukšto patalpų  bei gimnazijos aplinkos pritaikymas ikimokyklinio / priešmokyklinio ugdymo organizavimui      </t>
  </si>
  <si>
    <t xml:space="preserve">Švietimo paslaugų kokybės gerinimas, aprūpinant efektyviai veikiančias bendrojo ugdymo mokyklas laboratorine įranga ir priemonėmis </t>
  </si>
  <si>
    <t>Skaitmeninio ugdymo plėtra</t>
  </si>
  <si>
    <t>Vėdinimo ir kondicionavimo sistemų įrengimas savivaldybės ugdymo įstaigose</t>
  </si>
  <si>
    <t xml:space="preserve">Bendrojo ir ikimokyklinio ugdymo įstaigų (skyrių) pastatų modernizavimo techninės dokumentacijos rengimas </t>
  </si>
  <si>
    <t>iš jų: Valstybinio visuomenės sveikatos stiprinimo fondo projektas „Gyventojų sveikatos stiprinimas Kėdainių rajone“</t>
  </si>
  <si>
    <t>VšĮ Kėdainių ligoninės sterilizacinės modernizavimo 2023-2028 m. programa</t>
  </si>
  <si>
    <t>Vaikų, turinčių  autizmo spektro ir kitų raidos sutrikimų, sveikatos stiprinimas, galimybių siekti asmeninės pažangos, pilnaverčio socialinio dalyvavimo prielaidų užtikrinimas</t>
  </si>
  <si>
    <t>Sveikatos priežiūros specialistų skatinimo dirbti VšĮ Kėdainių  PSPC 2023-2028 m. programa</t>
  </si>
  <si>
    <t>Trūkstamos sveikatos priežiūros specialistų skatinimo dirbti VšĮ Kėdainių  ligoninėje 2023-2026 m. programa</t>
  </si>
  <si>
    <t>VšĮ Kėdainių PSPC Psichiatrijos dienos stacionaro paslaugų plėtra ir infrastruktūros pritaikymas specialiesiems neįgaliųjų poreikiams</t>
  </si>
  <si>
    <t xml:space="preserve">Kėdainių rajono kaimo gyventojų sveikatos gerinimo poreikių užtikrinimas, modernizuojant ir (ar) atnaujinant ambulatorijų infrastruktūrą </t>
  </si>
  <si>
    <t>Tinkamų ir saugių darbo sąlygų užtikrinimo, įrengiant vėdinimo bei kondicionavimo sistemas VšĮ Kėdainių ligoninėje 2023-2028 m. programa</t>
  </si>
  <si>
    <t xml:space="preserve">Tinkamų ir saugių darbo sąlygų užtikrinimo, įrengiant vėdinimo bei kondicionavimo sistemas VšĮ Kėdainių PSPC 2022-2026 m. programa </t>
  </si>
  <si>
    <t xml:space="preserve">Kita dotacija kompleksinėms paslaugoms šeimai organizuoti </t>
  </si>
  <si>
    <t>Kita dotacija akredituotai vaikų dienos socialinei priežiūrai organizuoti, teikti ir administruoti</t>
  </si>
  <si>
    <t>Kita dotacija  akredituotai socialinei reabilitacijai neįgaliesiems bendruomenėje organizuoti, teikti ir administruoti</t>
  </si>
  <si>
    <t>Kita dotacija asmeninei pagalbai teikti ir administruoti</t>
  </si>
  <si>
    <t>Kita dotacija savivaldybės viešajai bibliotekai dokumentams įsigyti</t>
  </si>
  <si>
    <t>Nemokamo socialiai remtinų vaikų maitinimo ikimokyklinėse įstaigose organizavimas</t>
  </si>
  <si>
    <t>Kelionės išlaidų už lengvatinį keleivių vežimą kompensavimas</t>
  </si>
  <si>
    <t>Kainų skirtumo gyventojams už šildymą kompensavimas</t>
  </si>
  <si>
    <t>Karšto ir šalto vandens pardavimo kainos socialiai remtiniems asmenims kompensavimas</t>
  </si>
  <si>
    <t>Vienkartinė išmoka gimus vaikui Lietuvos Respublikos teritorijoje ir gyvenančiam Kėdainių rajono savivaldybėje</t>
  </si>
  <si>
    <t>Savarankiško gyvenimo namų paslaugų asmenims su sutrikusiu intelektu teikimo programa</t>
  </si>
  <si>
    <t>Socialinės reabilitacijos paslaugų neįgaliesiems bendruomenėje organizavimas</t>
  </si>
  <si>
    <t>Vaikų dienos centrų veiklos programų finansavimas</t>
  </si>
  <si>
    <t>Laisvės atėmimo bausmę atlikusių asmenų integracijos į visuomenę užtikrinimas</t>
  </si>
  <si>
    <t>Pagalbos į krizines situacijas patekusiems, smurtą artimoje aplinkoje patyrusiems asmenims ir jų šeimų nariams teikimas</t>
  </si>
  <si>
    <t xml:space="preserve">Pagalbos į krizines situacijas patekusiems, smurtą artimoje aplinkoje keliantiems asmenims ir jų šeimų nariams teikimas  </t>
  </si>
  <si>
    <t>Socialiai pažeidžiamų asmenų, neturinčių gyvenamosios vietos, gyvybiškai svarbiausių poreikių užtikrinimas</t>
  </si>
  <si>
    <t>Socialinių būstų įsigijimas</t>
  </si>
  <si>
    <t>Savivaldybės ir socialinio būsto remontas</t>
  </si>
  <si>
    <t>Prisidėjimas prie Savivaldybei priklausančio būsto renovacijos savivaldybės biudžeto lėšomis</t>
  </si>
  <si>
    <t>Viešosios aplinkos pritaikymas specialiųjų poreikių turintiems gyventojams</t>
  </si>
  <si>
    <t xml:space="preserve">Vaikų mokymo plaukti veiklos programa, dalyvaujant projekte „Mokėk plaukti ir saugiau elgtis vandenyje“ </t>
  </si>
  <si>
    <t>Gyventojų fizinio aktyvumo plėtros bei olimpinių ir neolimpinių sporto šakų plėtros projektų finansavimas</t>
  </si>
  <si>
    <t>Kėdainių krepšinio komandos „Nevėžis-Optibet“ klubinio krepšinio vystymo programa</t>
  </si>
  <si>
    <t>Futbolo komandos Kėdainių „Nevėžis“ klubinio futbolo vystymo programa</t>
  </si>
  <si>
    <t>Bokso sporto šakos vystymo programa</t>
  </si>
  <si>
    <t>Kėdainių rajono vaikų ir jaunimo futbolo plėtros programa</t>
  </si>
  <si>
    <t>Moterų futbolo komandos Kėdainių „Nevėžis“ programa</t>
  </si>
  <si>
    <t>Salės futbolo komandos „Kėdainiai United“ klubinio salės futbolo vystymo programa</t>
  </si>
  <si>
    <t>Dziudo sporto šakos vystymo programa</t>
  </si>
  <si>
    <t>Aukšto meistriškumo sportininkų ir jų trenerių paskatinimas  už sporto pasiekimus</t>
  </si>
  <si>
    <t xml:space="preserve">Kėdainių sporto centro bazių atnaujinimas </t>
  </si>
  <si>
    <t>Kėdainių sporto centro saulės fotovoltinė elektrinė iš saulės elektrinių parko  įsigijimas</t>
  </si>
  <si>
    <t>Bendruomeninės fizinio aktyvumo infrastruktūros mieste ir rajone atnaujinimas ir (arba) plėtra</t>
  </si>
  <si>
    <t>Techninės dokumentacijos rengimas sporto infrastruktūrai prie ugdymo įstaigų  atnaujininti</t>
  </si>
  <si>
    <t xml:space="preserve">LSU Kėdainių Aušros“ progimnazijos plaukimo ir Kėdainių sporto centro Vilainių rekreacijos ir sporto pramogų komplekso baseinų renovacijos/plėtros galimybių studijos parengimas </t>
  </si>
  <si>
    <t xml:space="preserve">Nevyriausybinių organizacijų institucinio stiprinimo ir veiklos plėtojimo projektų finansavimas </t>
  </si>
  <si>
    <t xml:space="preserve">Bendruomeninių organizacijų veiklos projektų finansavimas </t>
  </si>
  <si>
    <t>Kėdainių rajono vietos veiklos grupės teritorijos vietos plėtros 2015-2023 m. strategijos finansavimas</t>
  </si>
  <si>
    <t xml:space="preserve">Vietos plėtros strategijos rengimo ir įgyvendinimo programa ir Kėdainių miesto vietos veiklos grupės vietos plėtros 2023-2029 metų strategijos finansavimas </t>
  </si>
  <si>
    <t xml:space="preserve">Rajono nevyriausybinių organizacijų veiklos stiprinimas </t>
  </si>
  <si>
    <t>Kėdainių kultūros centro rekonstrukcija ir įrengimas</t>
  </si>
  <si>
    <t>Akademijos kultūros centro remontas</t>
  </si>
  <si>
    <t>Šėtos kultūros centro vidaus erdvių remontas (I a. 2 patalpos)</t>
  </si>
  <si>
    <t>Krakių kultūros centro patalpų dalies pritaikymas kultūros reikmėms</t>
  </si>
  <si>
    <t xml:space="preserve">Infrastruktūros Kėdainių miesto parke įrengimas </t>
  </si>
  <si>
    <t>VšĮ Kėdainių turizmo ir verslo informacijos centro turizmo veiklos programos finansavimas</t>
  </si>
  <si>
    <t>Kėdainių rajono savivaldybės bažnyčių rėmimo programos įgyvendinimas</t>
  </si>
  <si>
    <t>Lankytinų objektų,  kultūros paveldo objektų ar objektų, esančių kultūros paveldo teritorijų prieigose tvarkybos dokumentacijos rengimas, objeketų atnaujinimas, restauravimas mieste ir rajone</t>
  </si>
  <si>
    <t>Kėdainių dvaro sodybos Minareto ir jo prieigų tvarkyba</t>
  </si>
  <si>
    <t>Archeologiniai  ir kiti tyrinėjimai kultūros paveldo teritorijose, paveldo objektams parengtų tvarkybos projektų ekspertizės vykdymas, sąmatų rengimas</t>
  </si>
  <si>
    <t>Kultūros paveldo objektų, esančių Kėdainių rajono savivaldybės teritorijoje, ir kultūros paveldo statinių, esančių Kėdainių senamiesčio dalyje, išsaugojimo darbų finansavimo programa</t>
  </si>
  <si>
    <t>Nuorodų, kitų informacinių ženklų įrengimas į savivaldybės kultūros paveldo objektus</t>
  </si>
  <si>
    <t xml:space="preserve">Kėdainių evangelikų ir reformatų bažnyčios atnaujinimas  (Tvarių prielaidų ir paskatų aktualizuoti kultūros paveldo vertybes sukūrimas) </t>
  </si>
  <si>
    <t xml:space="preserve">Akademijos parko tvarkyba  </t>
  </si>
  <si>
    <t>Babėnų šilo miškotvarka ir pritaikymas patogiam poilsiui, laisvalaikiui</t>
  </si>
  <si>
    <t>Dokumentų, padedančių užtikrinti darnią rajono savivaldybės teritorijų plėtrą rengimas</t>
  </si>
  <si>
    <t xml:space="preserve">Senojo Upytės kelio specialiojo plano rengimas ("Isos slėnis") </t>
  </si>
  <si>
    <t>Turto inventorizavimas, teisinė registracija, dokumentų turto pardavimui rengimas</t>
  </si>
  <si>
    <t xml:space="preserve">Infrastruktūros objektų tvarkymo investicinių projektų,  planų, paraiškų, kitos techninės dokumentacijos rengimas  Europos Sąjungos ar kitų  fondų paramai gauti </t>
  </si>
  <si>
    <t>Vandentiekio,  nuotekų tinklų   įrengimas, rekonstrukcija, plėtra Kėdainių mieste</t>
  </si>
  <si>
    <t>Biologinių nuotekų valymo įrenginių įrengimas</t>
  </si>
  <si>
    <t xml:space="preserve">Vandentiekio ir nuotekų tinklų plėtra Angirių k. </t>
  </si>
  <si>
    <t xml:space="preserve">Nuotekų tinklų įrengimas Josvainių mstl. Šaltinio g. </t>
  </si>
  <si>
    <t>Kėdainių miesto bei rajono gatvių apšvietimo rekonstrukcija, įrengimas, modernizavimas</t>
  </si>
  <si>
    <t>Radvilų g. apšvietimo ir ESO tinklų iškėlimo techninio projekto parengimas</t>
  </si>
  <si>
    <t>Žvyro įsigijimo seniūnijų keliams prižiūrėti finansavimas</t>
  </si>
  <si>
    <t>Biudžetinių įstaigų kiemų dangos atnaujinimas</t>
  </si>
  <si>
    <t>Inžinerinių paslaugų, darbų ir įrenginių finansavimas</t>
  </si>
  <si>
    <t>Viešųjų ir biudžetinių įstaigų stogų remontas</t>
  </si>
  <si>
    <t>Europos Sąjungos projektų,  kuriems taikomas apmokėjimas kompensavimo būdu, išlaidų apmokėjimas</t>
  </si>
  <si>
    <t>Atliekų tvarkymo sistemos organizavimas</t>
  </si>
  <si>
    <t xml:space="preserve">Apleistų (bešeimininkių ar savivaldybei nuosavybės teise priklausančių) pastatų ar kitų aplinką žalojančių objektų likvidavimas </t>
  </si>
  <si>
    <t>Projektų rengimas ir  gyvenviečių lietaus nuotekų-drenažų sistemų remontas</t>
  </si>
  <si>
    <t>Hidrotechninių įrenginių atnaujinimui reikalingos techninės dokumentacijos rengimas</t>
  </si>
  <si>
    <t>Kėdainių rajono savivaldybės Krakių tvenkinių hidrotechnikos statinių remontas ir techninės priežiūros vykdymas</t>
  </si>
  <si>
    <t>Dalyvavimas projekto „Dalies MSNA „Nikys“ nariams priklausančių ir valstybinių melioracijos statinių rekonstravimas“ įgyvendinime</t>
  </si>
  <si>
    <t>Dalyvavimas projekto „MSNA „Balsių melioracija“ nariams priklausančių ir valstybinių melioracijos statinių rekonstravimas“ įgyvendinime</t>
  </si>
  <si>
    <t>Dalyvavimas projekto „MSNA „Mantvilonių melioracija“ nariams priklausančių ir valstybinių melioracijos statinių rekonstravimas“ įgyvendinime</t>
  </si>
  <si>
    <t>Dalyvavimas projekto „MSNA „Vilainių drenažas“ nariams priklausančių ir valstybinių melioracijos statinių rekonstravimas“ įgyvendinimui</t>
  </si>
  <si>
    <t>VšĮ Kėdainių turizmo ir verslo informacijos centro viešųjų paslaugų verslui  programos finansavimas</t>
  </si>
  <si>
    <t xml:space="preserve">Finansinės paramos teikimas verslą pradedantiems ar sunkumų patiriantiems SVV subjektams Kėdainių rajone per Savivaldybės smulkiojo verslo rėmimo fondą </t>
  </si>
  <si>
    <t>Dalyvavimas projekte "Inkubavimo, konsultavimo, mentorystės ir tinklaveikos programų vystymas, skatinant pradedančiųjų SVV subjektų kūrimąsi ir augimą regionuose" partnerio teisėmis</t>
  </si>
  <si>
    <t>Savivaldybės mero rezervas</t>
  </si>
  <si>
    <t>Savivaldybės mero fondas</t>
  </si>
  <si>
    <t>UAB "Kėdbusas" nuostolingų maršrutų kompensavimas</t>
  </si>
  <si>
    <t>Dalyvavimas VšĮ Kauno regiono plėtros agentūros veikloje</t>
  </si>
  <si>
    <t xml:space="preserve">Visuomenės įtraukimas į planavimo, biudžeto formavimo, konsultavimosi procesus, organizuojant dalyvaujamojo biudžeto iniciatyvų konkursą ir iniciatyvų įgyvendinimą </t>
  </si>
  <si>
    <t>Prevencinės programos „Saugios aplinkos kūrimas ir bendruomenės teisėtvarkos kūrimas" finansavimas</t>
  </si>
  <si>
    <t>Socialinių dirbtuvių paslaugos organizavimas</t>
  </si>
  <si>
    <t>"Pirmoko krepšelio" finansavimas</t>
  </si>
  <si>
    <t>Nemokamo mokinių maitinimo kainos bendrojo ugdymo mokyklose kompensaviams</t>
  </si>
  <si>
    <t xml:space="preserve"> Nevėžio upės vientisumo atkūrimas, nugriaunant neeksploatuojamus hidroelektrinės statinius ir techninės priežiūros vykdymas</t>
  </si>
  <si>
    <t xml:space="preserve">2024 METŲ VALSTYBĖS BIUDŽETO SPECIALIOS TIKSLINĖS DOTACIJOS SAVIVALDYBĖS BIUDŽETUI KITI ASIGNAVIMAI </t>
  </si>
  <si>
    <t>30.1</t>
  </si>
  <si>
    <t>30.2</t>
  </si>
  <si>
    <t>30.3</t>
  </si>
  <si>
    <t>30.4</t>
  </si>
  <si>
    <t>30.5</t>
  </si>
  <si>
    <t>30.6</t>
  </si>
  <si>
    <t>30.7</t>
  </si>
  <si>
    <t>30.8</t>
  </si>
  <si>
    <t>33.1</t>
  </si>
  <si>
    <t>33.2</t>
  </si>
  <si>
    <t>33.3</t>
  </si>
  <si>
    <t>33.4</t>
  </si>
  <si>
    <t>33.5</t>
  </si>
  <si>
    <t>33.6</t>
  </si>
  <si>
    <t>33.7</t>
  </si>
  <si>
    <t>33.8</t>
  </si>
  <si>
    <t>33.9</t>
  </si>
  <si>
    <t>33.10</t>
  </si>
  <si>
    <t>33.11</t>
  </si>
  <si>
    <t>33.12</t>
  </si>
  <si>
    <t>33.13</t>
  </si>
  <si>
    <t>33.14</t>
  </si>
  <si>
    <t>33.15</t>
  </si>
  <si>
    <t>33.16</t>
  </si>
  <si>
    <t>33.17</t>
  </si>
  <si>
    <t>33.18</t>
  </si>
  <si>
    <t>33.19</t>
  </si>
  <si>
    <t>33.20</t>
  </si>
  <si>
    <t>33.21</t>
  </si>
  <si>
    <t>33.22</t>
  </si>
  <si>
    <t>33.23</t>
  </si>
  <si>
    <t>40.1</t>
  </si>
  <si>
    <t>40.2</t>
  </si>
  <si>
    <t>40.3</t>
  </si>
  <si>
    <t>40.4</t>
  </si>
  <si>
    <t>40.5</t>
  </si>
  <si>
    <t>40.6</t>
  </si>
  <si>
    <t>40.7</t>
  </si>
  <si>
    <t>40.8</t>
  </si>
  <si>
    <t>40.9</t>
  </si>
  <si>
    <t>40.10</t>
  </si>
  <si>
    <t>40.11</t>
  </si>
  <si>
    <t>40.12</t>
  </si>
  <si>
    <t>40.13</t>
  </si>
  <si>
    <t>40.14</t>
  </si>
  <si>
    <t>40.15</t>
  </si>
  <si>
    <t>40.16</t>
  </si>
  <si>
    <t>40.17</t>
  </si>
  <si>
    <t>40.17.1</t>
  </si>
  <si>
    <t>40.17.2</t>
  </si>
  <si>
    <t>40.17.3</t>
  </si>
  <si>
    <t>40.17.4</t>
  </si>
  <si>
    <t>54.1</t>
  </si>
  <si>
    <t>54.2</t>
  </si>
  <si>
    <t>54.3</t>
  </si>
  <si>
    <t>54.4</t>
  </si>
  <si>
    <t>54.5</t>
  </si>
  <si>
    <t>54.6</t>
  </si>
  <si>
    <t>54.6.1</t>
  </si>
  <si>
    <t>54.6.2</t>
  </si>
  <si>
    <t>54.6.3</t>
  </si>
  <si>
    <t>54.6.4</t>
  </si>
  <si>
    <t>54.6.5</t>
  </si>
  <si>
    <t>54.6.6</t>
  </si>
  <si>
    <t>73.1</t>
  </si>
  <si>
    <t>73.2</t>
  </si>
  <si>
    <t>73.3</t>
  </si>
  <si>
    <t>73.4</t>
  </si>
  <si>
    <t>73.5</t>
  </si>
  <si>
    <t>73.6</t>
  </si>
  <si>
    <t>73.7</t>
  </si>
  <si>
    <t>73.7.1</t>
  </si>
  <si>
    <t>73.7.4</t>
  </si>
  <si>
    <t>73.7.2</t>
  </si>
  <si>
    <t>73.7.3</t>
  </si>
  <si>
    <t>73.7.5</t>
  </si>
  <si>
    <t>76.1</t>
  </si>
  <si>
    <t>76.2</t>
  </si>
  <si>
    <t>76.3</t>
  </si>
  <si>
    <t>76.3.1</t>
  </si>
  <si>
    <t>76.3.2</t>
  </si>
  <si>
    <t>76.3.3</t>
  </si>
  <si>
    <t>76.3.4</t>
  </si>
  <si>
    <t>76.3.5</t>
  </si>
  <si>
    <t>76.3.6</t>
  </si>
  <si>
    <t>76.3.7</t>
  </si>
  <si>
    <t>76.3.8</t>
  </si>
  <si>
    <t>76.3.9</t>
  </si>
  <si>
    <t>79.1</t>
  </si>
  <si>
    <t>79.1.1</t>
  </si>
  <si>
    <t>79.1.2</t>
  </si>
  <si>
    <t>79.1.3</t>
  </si>
  <si>
    <t>79.1.4</t>
  </si>
  <si>
    <t>79.1.5</t>
  </si>
  <si>
    <t>79.1.6</t>
  </si>
  <si>
    <t>79.1.7</t>
  </si>
  <si>
    <t>79.1.8</t>
  </si>
  <si>
    <t>79.1.9</t>
  </si>
  <si>
    <t>79.1.10</t>
  </si>
  <si>
    <t>79.1.11</t>
  </si>
  <si>
    <t>79.1.12</t>
  </si>
  <si>
    <t>79.1.13</t>
  </si>
  <si>
    <t>79.1.14</t>
  </si>
  <si>
    <t>79.1.15</t>
  </si>
  <si>
    <t>79.1.16</t>
  </si>
  <si>
    <t>79.1.17</t>
  </si>
  <si>
    <t>79.1.18</t>
  </si>
  <si>
    <t>79.1.19</t>
  </si>
  <si>
    <t>79.1.20</t>
  </si>
  <si>
    <t>92.1</t>
  </si>
  <si>
    <t>92.2</t>
  </si>
  <si>
    <t>92.3</t>
  </si>
  <si>
    <t>92.4</t>
  </si>
  <si>
    <t>92.5</t>
  </si>
  <si>
    <t>92.5.1</t>
  </si>
  <si>
    <t>105.1</t>
  </si>
  <si>
    <t>105.2</t>
  </si>
  <si>
    <t>105.2.1</t>
  </si>
  <si>
    <t>105.2.2</t>
  </si>
  <si>
    <t>105.2.3</t>
  </si>
  <si>
    <t>105.2.4</t>
  </si>
  <si>
    <t>105.2.5</t>
  </si>
  <si>
    <t>105.2.6</t>
  </si>
  <si>
    <t>105.2.7</t>
  </si>
  <si>
    <t>107.3</t>
  </si>
  <si>
    <t>107.4</t>
  </si>
  <si>
    <t>111.1</t>
  </si>
  <si>
    <t>111.3</t>
  </si>
  <si>
    <t>111.2</t>
  </si>
  <si>
    <t>111.4</t>
  </si>
  <si>
    <t>111.5</t>
  </si>
  <si>
    <t>111.6</t>
  </si>
  <si>
    <t>111.7</t>
  </si>
  <si>
    <t>111.8</t>
  </si>
  <si>
    <t>111.9</t>
  </si>
  <si>
    <t>Infrastruktūros plėtros įmokos</t>
  </si>
  <si>
    <t xml:space="preserve"> Kita dotacija socialinių paslaugų įstaigose dirbančių  socialinių  paslaugų srities darbuotojų pareiginei algai padidinti</t>
  </si>
  <si>
    <t>01.3</t>
  </si>
  <si>
    <t>Kėdainių rajono savivaldybės administracija</t>
  </si>
  <si>
    <t>Kita dotacija būstams pritaikyti asmenims su negalia</t>
  </si>
  <si>
    <t>Kita dotacija asmenų  su negalia reikalų koordinavimui</t>
  </si>
  <si>
    <t>Kita dotacija stiprinti bendruomenines veiklas savivaldybėje</t>
  </si>
  <si>
    <t>05.2</t>
  </si>
  <si>
    <t>07.1</t>
  </si>
  <si>
    <t>Kita dotacija  savivaldybės institucijos valdomiems vietinės reikšmės keliams</t>
  </si>
  <si>
    <t xml:space="preserve">          KĖDAINIŲ RAJONO SAVIVALDYBĖS 2024 METŲ BIUDŽETO PAJAMOS</t>
  </si>
  <si>
    <t>Kita dotacija už būsto suteikimą užsieniečiams, pasitraukusiems iš Ukrainos dėl Rusijos federacijos karinės agresijos, finansuoti</t>
  </si>
  <si>
    <t>03.8</t>
  </si>
  <si>
    <t>03.9</t>
  </si>
  <si>
    <t>Kita dotacija  vienkartinėms išmokoms įsikurti gyvenamojoje vietoje savivaldybės teritorijoje ir (ar) mėnesinėms kompensacijoms atlyginimui švietimo teikėjui už vaiko, ugdomo pagal ikimokyklinio ir priešmokyklinio ugdymo programas išlaikymą apmokėti mokėti ir administruoti</t>
  </si>
  <si>
    <t>Kita dotacija socialinių paslaugų šakos kolektyvinėje sutartyje nustatytiems įsipareigojimams igyvendinti</t>
  </si>
  <si>
    <t>03.10</t>
  </si>
  <si>
    <t>01.4</t>
  </si>
  <si>
    <t xml:space="preserve">Kita dotacija saulės elektrinės pagamintos  energijos kaupimo įrenginiui įdiegti </t>
  </si>
  <si>
    <t>01.5</t>
  </si>
  <si>
    <t xml:space="preserve"> Kita dotacija kompensuoti savivaldybės patirtas išlaidas valdant nepaprastąją padėtį dėl užsieniečių, pasitraukusių iš Ukrainos dėl Rusijos federacijos karinių veiksmų Ukrainoje</t>
  </si>
  <si>
    <t>Kita dotacja profesiniam orientavimui</t>
  </si>
  <si>
    <t>Kita dotacija ugdyti ir pavėžėti į mokyklą ir atgal vaikus, atvykusius į Lietuvos Respubliką iš Ukrainos dėl Rusijos federacijos karinių veiksmų Ukrainoje</t>
  </si>
  <si>
    <t>03.11</t>
  </si>
  <si>
    <t>Kita dotacija  teikti piniginę socialinę paramą vadovaujantis Lietuvos Respublikos piniginės socialinės paramos nepasiturintiems gyventojams įstatymu, užsieniečiams, pasitraukusiems iš Ukrainos dėl Rusijos federacijos karinių veiksmų Ukrainoje</t>
  </si>
  <si>
    <t>03.12</t>
  </si>
  <si>
    <t>Kita dotacija padengti išlaidas patirtas teikiant specialiąsias socialines paslaugas užsieniečiams, pasitraukusiems iš Ukrainos dėl Rusijos federacijos karinių veiksmų Ukrainoje</t>
  </si>
  <si>
    <t>Kita dotacija sutvarkyti naudotas padangas, kurių turėtojų nustatyti neįmanoma arba kurie neegzistuoja</t>
  </si>
  <si>
    <t>08.2</t>
  </si>
  <si>
    <t>03.13</t>
  </si>
  <si>
    <t>03.14</t>
  </si>
  <si>
    <t>Kita dotacija savivaldybės administracijai  mokėti 20 proc. bazinės socialinės išmokos (BSĮ) neįgaliesiems</t>
  </si>
  <si>
    <t>Kita dotacija panaudoti atsinaujinančius energijos išteklius (saulės, vėjo) elektros energijos poreikiams</t>
  </si>
  <si>
    <t>01.6</t>
  </si>
  <si>
    <t>Kita dotacija  vertinti fotovoltinės saulės elektrinės ant pastato stogo ataskaitą</t>
  </si>
  <si>
    <t xml:space="preserve"> Kita dotacija teikti socialinę paramą mokiniams pagal Lietuvos Respublikos socialinės paramos mokiniams įstatymą užsieniečiams, pasitraukusiems iš Ukrainos dėl Rusijos federacijos karinių veiksmų Ukrainoje</t>
  </si>
  <si>
    <t>03.15</t>
  </si>
  <si>
    <t>79.1.21</t>
  </si>
  <si>
    <t>Kita dotacija teikti paramą būstui išsinuomoti pagal Lietuvos Respublikos paramos būstui įsigyti ar išsinuomoti įstatymą užsieniečiams, pasitraukusiems iš Ukrainos dėl Rusijos federacijos karinės agresijos</t>
  </si>
  <si>
    <t>Kita dotacija valstybinių ir savivaldybių mokyklų mokytojų, dirbančių pagal ikimokyklinio, priešmokyklinio, bendrojo ugdymo ir profesinio mokymo programas, personalo optimizavimui ir atnaujinimui</t>
  </si>
  <si>
    <t>Kita dotacija  mokyklų aprūpinimo geltonaisiais autobusais programai įgyvendinti</t>
  </si>
  <si>
    <t xml:space="preserve"> Kita dotacija laikino atokvėpio paslaugai teikti ir administruoti</t>
  </si>
  <si>
    <t>08.3</t>
  </si>
  <si>
    <t>01.7</t>
  </si>
  <si>
    <t>01.8</t>
  </si>
  <si>
    <t>03.17</t>
  </si>
  <si>
    <t>Kita dotacija vykdyti miesto miškų žemės sklypų priežiūros, apsaugos, tvarkymo darbus ir parengti reikalingus planavimo dokumentus</t>
  </si>
  <si>
    <t>Kita dotacija infrastruktūros įrengimui ir (ar) sutvarkymui ir (ar) investicinio žemės sklypo vystymui</t>
  </si>
  <si>
    <t>Kėdainių Senamiesčio progimnazija</t>
  </si>
  <si>
    <t>40.17.5</t>
  </si>
  <si>
    <t>Būsto įsigijimas nakvynės namų poreikiams</t>
  </si>
  <si>
    <t>54.6.7</t>
  </si>
  <si>
    <t>Kėdainių r. Krakių Mikalojaus Katkaus gimnazijos sporto aikštyno atnaujinimas</t>
  </si>
  <si>
    <t>Kėdainių Senamiesčio progimnazijos  sporto aikštyno atnaijinimas</t>
  </si>
  <si>
    <t>Kita dotacija švietimo įstaigų sporto aikštynų atnaujinimo programos įgyvendinimui</t>
  </si>
  <si>
    <t xml:space="preserve"> (tūkst. Eur)</t>
  </si>
  <si>
    <t>Suma</t>
  </si>
  <si>
    <t xml:space="preserve"> MOKESČIAI (2+5+9)</t>
  </si>
  <si>
    <t>Pajamų ir pelno mokesčiai (3+4)</t>
  </si>
  <si>
    <t>Turto mokesčiai (6+7+8)</t>
  </si>
  <si>
    <t>Prekių ir paslaugų mokesčiai (10)</t>
  </si>
  <si>
    <t>KITOS PAJAMOS (12+17+22+25+26)</t>
  </si>
  <si>
    <t>Turto pajamos (13+14+15+16)</t>
  </si>
  <si>
    <t>Pajamos už prekes ir paslaugas (18+19+20+21)</t>
  </si>
  <si>
    <t>Rinkliavos (23+24 )</t>
  </si>
  <si>
    <t>Kitos neišvardytos pajamos</t>
  </si>
  <si>
    <t xml:space="preserve">MATERIALIOJO IR NEMATERIALIOJO TURTO REALIZAVIMO PAJAMOS </t>
  </si>
  <si>
    <t>Iš viso (1+11+27)</t>
  </si>
  <si>
    <t>DOTACIJOS IŠ KITŲ VALDŽIOS SEKTORIAUS  SUBJEKTŲ (30+34+35)</t>
  </si>
  <si>
    <t>Valstybės biudžeto specialioji tikslinė dotacija (31+32+33)</t>
  </si>
  <si>
    <t>Valstybinėms (perduotoms savivaldybėms) funkcijoms atlikti</t>
  </si>
  <si>
    <t>mokyklos specialiųjų ugdymosi poreikių turintiems mokiniams</t>
  </si>
  <si>
    <t>34</t>
  </si>
  <si>
    <t xml:space="preserve">Valstybės biudžeto kitos dotacijos </t>
  </si>
  <si>
    <t>35</t>
  </si>
  <si>
    <t>Europos Sąjungos ir kitos tarptautinės finansinės paramos lėšos</t>
  </si>
  <si>
    <t>36</t>
  </si>
  <si>
    <t xml:space="preserve">                                       IŠ VISO PAJAMŲ IR DOTACIJŲ (28+29)</t>
  </si>
  <si>
    <t>37</t>
  </si>
  <si>
    <t>Finansinių įsipareigojimų prisiėmimo (skolinimosi) pajamos</t>
  </si>
  <si>
    <t>38</t>
  </si>
  <si>
    <t>Metų pradžios lėšų likutis</t>
  </si>
  <si>
    <t xml:space="preserve">                                            Kėdainių rajono savivaldybės tarybos</t>
  </si>
  <si>
    <t xml:space="preserve">                                                                       Kėdainių rajono savivaldybės tarybos  </t>
  </si>
  <si>
    <t xml:space="preserve">                                                                                Kėdainių rajono savivaldybės tarybos</t>
  </si>
  <si>
    <t>7 priedas</t>
  </si>
  <si>
    <t xml:space="preserve">KĖDAINIŲ RAJONO SAVIVALDYBĖS 2024 METŲ BIUDŽETO ASIGNAVIMAI PROJEKTAMS FINANSUOTI EUROPOS SĄJUNGOS LĖŠOMIS </t>
  </si>
  <si>
    <t>2.1</t>
  </si>
  <si>
    <t>Didinti Kėdainių lopšelio-darželio „Varpelis“ (Pavasario g. 8, Kėdainiai) pastato energinį efektyvumą, modernizuoti vidaus erdves</t>
  </si>
  <si>
    <t>2.2</t>
  </si>
  <si>
    <t>Didinti Kėdainių lopšelio-darželio „Vyturėlis“ (Josvainių g. 53, Kėdainiai) pastato energinį efektyvumą, modernizuoti vidaus erdves</t>
  </si>
  <si>
    <t>2.3</t>
  </si>
  <si>
    <t>Įgyvendinti "Tūkstantmečio mokyklos I"  projektą</t>
  </si>
  <si>
    <t>2.4</t>
  </si>
  <si>
    <t>Plėtoti įvairialypį švietimą  Kėdainių „Aušros“ progimnazijoje ir Vilainių mokykloje-darželyje „Obelėlė“, vykdant visos dienos mokyklos veiklą</t>
  </si>
  <si>
    <t>3</t>
  </si>
  <si>
    <t>4</t>
  </si>
  <si>
    <t>4.1</t>
  </si>
  <si>
    <t>Aprūpinti įranga mobilias komandas Kėdainių rajono savivaldybėje</t>
  </si>
  <si>
    <t>5</t>
  </si>
  <si>
    <t>6</t>
  </si>
  <si>
    <t>Įgyvendinti projektą  „Pabėgėlių iš Ukrainos priėmimas ir ankstyva integracija“</t>
  </si>
  <si>
    <t>7</t>
  </si>
  <si>
    <t>8</t>
  </si>
  <si>
    <t>8.1</t>
  </si>
  <si>
    <t>Vykdyti Kėdainių rajono Dotnuvos seniūnijos Kruostos upės Vaidatonių tvenkinio hidrotechnikos statinių rekonstrukciją ir techninę priežiūrą</t>
  </si>
  <si>
    <t xml:space="preserve">                                                               ___________________________________________</t>
  </si>
  <si>
    <t xml:space="preserve">                                                             Kėdainių rajono savivaldybės tarybos</t>
  </si>
  <si>
    <t>11 priedas</t>
  </si>
  <si>
    <t>2024 METŲ VALSTYBĖS BIUDŽETO DOTACIJOS IŠ KITŲ VALDYMO LYGIŲ SAVIVALDYBĖS BIUDŽETUI PROJEKTAMS FINANSUOTI  ASIGNAVIMAI</t>
  </si>
  <si>
    <t xml:space="preserve">Kėdainių rajono tuberkuliozės prevencijos, ankstyvosios diagnostikos, gydymo ir kontrolės 2023–2027 m. programa </t>
  </si>
  <si>
    <t xml:space="preserve">Žemo slenksčio paslaugų kokybės  užtikrinimo Kėdainių rajone 2023-2027 m. programa </t>
  </si>
  <si>
    <t xml:space="preserve">Ambulatorinės akušerinės ir ginekologinės pagalbos kokybės gerinimo Kėdainių rajono savivaldybės moterims 2019-2024 m. programa  </t>
  </si>
  <si>
    <t xml:space="preserve">Endoskopinių paslaugų prieinamumo ir kokybės gerinimo Kėdainių rajono savivaldybėje 2020-2025 m. programa </t>
  </si>
  <si>
    <t xml:space="preserve">Mamografijos paslaugų tęstinumo, kokybės gerinimo Kėdainių rajono savivaldybėje 2020-2025 m. programa </t>
  </si>
  <si>
    <t xml:space="preserve">Anestezijos paslaugų vaikams ir suaugusiesiems kokybės gerinimo Kėdainių rajono savivaldybėje 2022-2027 m. programa </t>
  </si>
  <si>
    <t xml:space="preserve">Rentgeno paslaugų atnaujinimo, kokybės gerinimo Kėdainių rajono savivaldybėje 2022-2027 m. programa </t>
  </si>
  <si>
    <t>Kompiuterinės tomografijos paslaugų kokybės gerinimo Kėdainių rajono savivaldybėje 2023-2030 m. programa</t>
  </si>
  <si>
    <t>Odontologijos paslaugų plėtros Kėdainių rajono savivaldybėje 2024-2027 m. programa</t>
  </si>
  <si>
    <t xml:space="preserve">Reabilitacijos prieinamumo didinimo Kėdainių rajono savivaldybėje 2024 m. programa </t>
  </si>
  <si>
    <t xml:space="preserve">Išmokos pagal savivaldybės  infrastruktūros plėtros sutartis </t>
  </si>
  <si>
    <t xml:space="preserve">Daugiabučių namų kiemų dangų atnaujinimas </t>
  </si>
  <si>
    <t>Infrastruktūros plėtros techninės dokumentacijos rengimas ir infrastruktūros gerinimo darbai</t>
  </si>
  <si>
    <t>30.9</t>
  </si>
  <si>
    <t>30.9.1</t>
  </si>
  <si>
    <t>30.9.2</t>
  </si>
  <si>
    <t>30.9.3</t>
  </si>
  <si>
    <t>30.9.4</t>
  </si>
  <si>
    <t>30.9.5</t>
  </si>
  <si>
    <t>30.9.6</t>
  </si>
  <si>
    <t>30.9.7</t>
  </si>
  <si>
    <t>30.9.8</t>
  </si>
  <si>
    <t>30.9.9</t>
  </si>
  <si>
    <t>30.9.10</t>
  </si>
  <si>
    <t>30.9.11</t>
  </si>
  <si>
    <t>30.9.12</t>
  </si>
  <si>
    <t xml:space="preserve">Mokyklų aprūpinimo geltonaisiais autobusais programai įgyvendinti </t>
  </si>
  <si>
    <t>„Aušros“ progimnazijoje ir Vilainių mokykloje-darželyje „Obelėlė“, vykdant visos dienos mokyklos veiklą</t>
  </si>
  <si>
    <t>2.5</t>
  </si>
  <si>
    <t>Įgyvendinti projektą „Karjeros specialistų tinklo vystymas"</t>
  </si>
  <si>
    <t>2.6</t>
  </si>
  <si>
    <t>Įgyvendinti projektą „Ankstyvojo ugdymo užtikrinimas vaikams iš socialinę riziką patiriančių šeimų"</t>
  </si>
  <si>
    <t>2.7</t>
  </si>
  <si>
    <t>Įgyvendinti projektą „Ugdymo priemonės mokykloms"</t>
  </si>
  <si>
    <t>5.1</t>
  </si>
  <si>
    <t>5.2</t>
  </si>
  <si>
    <t>7.1</t>
  </si>
  <si>
    <t xml:space="preserve">iš jų: teikti integralią pagalbą į namus Kėdainių rajone </t>
  </si>
  <si>
    <t>Kėdainių pagalbos šeimai centras iš viso:</t>
  </si>
  <si>
    <t>Įgyvendinti projektą  „Kompleksinių paslaugų teikimas (KOPA)"</t>
  </si>
  <si>
    <t>8.2</t>
  </si>
  <si>
    <t>Įgyvendinti projektą „Paslaugų, skatinančių ir efektyviai palaikančių globą šeimos aplinkoje, vystymas“</t>
  </si>
  <si>
    <t>9</t>
  </si>
  <si>
    <t>9.1</t>
  </si>
  <si>
    <t>9.2</t>
  </si>
  <si>
    <t>9.3</t>
  </si>
  <si>
    <t>01.9</t>
  </si>
  <si>
    <t>Kita dotacija pedagoginių darbuotojų, dirbančių pagal ikimokyklinio, priešmokyklinio ir neformaliojo vaikų švietimo programas savivaldybės mokyklose, padidintam darbo užmokesčiui nuo 2024 m. rugsėjo 1 d. mokėti</t>
  </si>
  <si>
    <t>03.16</t>
  </si>
  <si>
    <t xml:space="preserve">Kita dotacija užtikrinti 2023 metais Lietuvos Respublikos piniginės socialinės paramos nepasiturintiems gyventojams įstatymo įgyvendinimą </t>
  </si>
  <si>
    <t>4.2</t>
  </si>
  <si>
    <t>Įgyvendinti projektą "Kompleksinių ir integruotų, mokslu pagrįtų visuomenės sveikatos paslaugų prieinamumo užtikrinimas, bazinių visuomenės sveikatos paslaugų tikslinėms grupėms teikimas"</t>
  </si>
  <si>
    <t xml:space="preserve">                                                              Kėdainių rajono savivaldybės tarybos</t>
  </si>
  <si>
    <t>13 priedas</t>
  </si>
  <si>
    <t xml:space="preserve">1. Informacija apie Savivaldybės aplinkos apsaugos rėmimo specialiosios </t>
  </si>
  <si>
    <t>programos (toliau - Programa) lėšas</t>
  </si>
  <si>
    <t>(1) Programos finansavimo šaltiniai</t>
  </si>
  <si>
    <t>Pajamos,      tūkst. Eur</t>
  </si>
  <si>
    <t>1.1.</t>
  </si>
  <si>
    <t>Mokesčiai už teršalų išmetimą į aplinką</t>
  </si>
  <si>
    <t>1.2.</t>
  </si>
  <si>
    <t>1.3.</t>
  </si>
  <si>
    <t>Lėšos, gautos kaip želdinių atkuriamosios vertės kompensacija</t>
  </si>
  <si>
    <t>1.4.</t>
  </si>
  <si>
    <t>Savanoriškos juridinių ir fizinių asmenų įmokos ir kitos teisėtai gautos lėšos</t>
  </si>
  <si>
    <t>Iš viso (1.1 + 1.2):</t>
  </si>
  <si>
    <t>Mokesčiai, sumokėti už medžiojamųjų gyvūnų išteklių naudojimą</t>
  </si>
  <si>
    <t>1.5.</t>
  </si>
  <si>
    <t xml:space="preserve">Ankstesnio ataskaitinio laikotarpio ataskaitos atitinkamų lėšų likutis </t>
  </si>
  <si>
    <t>1.6.</t>
  </si>
  <si>
    <t>Iš viso (1.4 + 1.5):</t>
  </si>
  <si>
    <t>1.7.</t>
  </si>
  <si>
    <t>Faktinės Programos lėšos (1.3 + 1.6)</t>
  </si>
  <si>
    <t>(2) Savivaldybės visuomenės sveikatos rėmimo specialiajai programai skirtinos lėšos</t>
  </si>
  <si>
    <t>Lėšos,                 tūkst. Eur</t>
  </si>
  <si>
    <t>1.8.</t>
  </si>
  <si>
    <t>20 procentų Savivaldybės aplinkos apsaugos rėmimo specialiosios programos lėšų, neįskaitant įplaukų už medžioklės plotų naudotojų mokesčius, mokamus įstatymų nustatytomis proporcijomis ir tvarka už medžiojamųjų gyvūnų išteklių naudojimą</t>
  </si>
  <si>
    <t>1.9</t>
  </si>
  <si>
    <t>1.10.</t>
  </si>
  <si>
    <t>Iš viso (1.8+1.9):</t>
  </si>
  <si>
    <t>(3) Kitoms Programos priemonėms skirtinos lėšos</t>
  </si>
  <si>
    <t>1.11.</t>
  </si>
  <si>
    <t>80 procentų Savivaldybės aplinkos apsaugos rėmimo specialiosios programos lėšų, neįskaitant įplaukų už medžioklės plotų naudotojų mokesčius, mokamus įstatymų nustatytomis proporcijomis ir tvarka už medžiojamųjų gyvūnų išteklių naudojimą</t>
  </si>
  <si>
    <t>1.12.</t>
  </si>
  <si>
    <t>1.13.</t>
  </si>
  <si>
    <t>Iš viso (1.11 + 1.12):</t>
  </si>
  <si>
    <t>Priemonės pavadinimas</t>
  </si>
  <si>
    <t>2.1.</t>
  </si>
  <si>
    <t>Žemės sklypų, kuriuose medžioklė nėra uždrausta, savininkų, valdytojų ir naudotojų, įgyvendinamos žalos prevencijos priemonės, kuriomis jie siekia išvengti medžiojamųjų gyvūnų daromos žalos</t>
  </si>
  <si>
    <t>2.1.1.</t>
  </si>
  <si>
    <t>Miškų savininkams, naudotojams, valdytojams želdinių apdorojimui repelentais, aptvėrimui tvoromis, želdinių, gerinančių laukinių gyvūnų mitybos sąlygas, ir kt. priemonėms</t>
  </si>
  <si>
    <t>2.1.2.</t>
  </si>
  <si>
    <t>Informacijai apie parengtą preliminarų medžioklės plotų vieneto sudarymo ar jo ribų keitimo projektą paskelbti šalies ir vietinėje spaudoje</t>
  </si>
  <si>
    <t>2.2.</t>
  </si>
  <si>
    <t>Kartografinės ir kitos medžiagos, reikalingos pagal Medžioklės įstatymo reikalavimus rengiamiems medžioklės plotų vienetų sudarymo ar jų ribų pakeitimo projektų parengimo priemonės</t>
  </si>
  <si>
    <t>Iš viso (2.1 + 2.2):</t>
  </si>
  <si>
    <t>3. Programos lėšos, skirtos savivaldybės visuomenės sveikatos rėmimo specialiajai programai</t>
  </si>
  <si>
    <t>Programos pavadinimas</t>
  </si>
  <si>
    <t>Lėšos, tūkst. Eur</t>
  </si>
  <si>
    <t>Savivaldybės visuomenės sveikatos rėmimo specialioji programa</t>
  </si>
  <si>
    <t>4. Kitos aplinkosaugos priemonės, kurioms įgyvendinti panaudotos programos lėšos</t>
  </si>
  <si>
    <t>Lėšos,  tūkst. Eur</t>
  </si>
  <si>
    <t>4.1.</t>
  </si>
  <si>
    <t>Aplinkos kokybės gerinimo ir apsaugos priemonės</t>
  </si>
  <si>
    <t>4.1.1.</t>
  </si>
  <si>
    <t>Sosnovskio barščio naikinimui Kėdainių rajone:</t>
  </si>
  <si>
    <t>4.1.1.1.</t>
  </si>
  <si>
    <t xml:space="preserve">Dotnuvos seniūnijai </t>
  </si>
  <si>
    <t>4.1.1.2.</t>
  </si>
  <si>
    <t>Krakių seniūnijai</t>
  </si>
  <si>
    <t>4.1.1.3.</t>
  </si>
  <si>
    <t>Pelėdnagių seniūnijai</t>
  </si>
  <si>
    <t>4.1.1.4.</t>
  </si>
  <si>
    <t>Šėtos seniūnijai</t>
  </si>
  <si>
    <t>4.1.1.5.</t>
  </si>
  <si>
    <t xml:space="preserve">Vilainių seniūnijai </t>
  </si>
  <si>
    <t>4.1.1.6.</t>
  </si>
  <si>
    <t xml:space="preserve">Kėdainių miesto seniūnijai </t>
  </si>
  <si>
    <t>4.1.1.7.</t>
  </si>
  <si>
    <t>Surviliškio seniūnijai</t>
  </si>
  <si>
    <t>4.1.1.8.</t>
  </si>
  <si>
    <t>Gudžiūnų seniūnijai</t>
  </si>
  <si>
    <t>4.1.1.9.</t>
  </si>
  <si>
    <t xml:space="preserve">Pernaravos seniūnijai </t>
  </si>
  <si>
    <t>4.1.2.</t>
  </si>
  <si>
    <t>4.1.3.</t>
  </si>
  <si>
    <t>Individualių nuotekų valymo įrenginių kompensavimui Kėdainių r. sav.</t>
  </si>
  <si>
    <t>4.1.4.</t>
  </si>
  <si>
    <t>Kėdainių r. sav. teritorijoje esančių saugomų teritorijų apsaugos ir tvarkymo darbai (šienavimas, menkaverčių krūmų iškirtimas)</t>
  </si>
  <si>
    <t>4.2.</t>
  </si>
  <si>
    <t>Atliekų, kurių turėtojo nustatyti neįmanoma arba kuris nebeegzistuoja, tvarkymo priemonės</t>
  </si>
  <si>
    <t>4.2.1.</t>
  </si>
  <si>
    <t>Atliekų, kuriomis užteršta teritorija, nustatymo ir atliekomis užterštos teritorijos išvalymo ir sutvarkymo darbai</t>
  </si>
  <si>
    <t>4.3.</t>
  </si>
  <si>
    <t>Aplinkos monitoringo, prevencinės, aplinkos atkūrimo priemonės</t>
  </si>
  <si>
    <t>4.3.1.</t>
  </si>
  <si>
    <t>Gelbėjimo ir cheminių avarijų padariniams likviduoti ir priemonėms finansuoti</t>
  </si>
  <si>
    <t>4.3.2.</t>
  </si>
  <si>
    <t>Kėdainių r. sav. 2019–2024 m. aplinkos monitoringo programos 2024 m. paslaugų įgyvendinimui</t>
  </si>
  <si>
    <t>4.3.3.</t>
  </si>
  <si>
    <t xml:space="preserve">Kėdainių r. sav. 2025–2030 m. aplinkos monitoringo programos parengimui </t>
  </si>
  <si>
    <t>4.3.4.</t>
  </si>
  <si>
    <t>Aplinkos oro, dirvožemio, požeminio ir paviršinio vandens nuotekų tyrimų atlikimui Kėdainių r.</t>
  </si>
  <si>
    <t>4.3.5.</t>
  </si>
  <si>
    <t>Nevėžio upės pakrančių valymui, tvarkymui Kėdainių m.</t>
  </si>
  <si>
    <t>4.3.6.</t>
  </si>
  <si>
    <t>Dotnuvėlės upelio pakrančių valymui, tvarkymui Kėdainių m.</t>
  </si>
  <si>
    <t>4.3.7.</t>
  </si>
  <si>
    <t>Vandens telkinių pakrančių valymui ir tvarkymui Kėdainių r. sav.</t>
  </si>
  <si>
    <t>4.3.8.</t>
  </si>
  <si>
    <t>Krakių tvenkinių valymui Krakių mstl., Krakių sen.</t>
  </si>
  <si>
    <t>4.3.9.</t>
  </si>
  <si>
    <t>Jūrinių erelių perimviečių stebėjimui Kėdainių rajone</t>
  </si>
  <si>
    <t>4.4.</t>
  </si>
  <si>
    <t>Visuomenės švietimo ir mokymo aplinkosaugos klausimais priemonės</t>
  </si>
  <si>
    <t>4.4.1.</t>
  </si>
  <si>
    <t>Kėdainių r. sav. aplinkosauginio švietimo  įgyvendinimui</t>
  </si>
  <si>
    <t>4.4.2.</t>
  </si>
  <si>
    <t>Prenumeruoti spaudos leidinius aplinkosaugine tema ugdymo įstaigoms</t>
  </si>
  <si>
    <t>4.4.3.</t>
  </si>
  <si>
    <t>Konkursui „Gražiausiai tvarkoma aplinka“ rengti</t>
  </si>
  <si>
    <t>4.5.</t>
  </si>
  <si>
    <t>Želdynų ir želdinių apsaugos, tvarkymo, būklės stebėsenos, želdynų kūrimo, želdinių veisimo ir inventorizavimo priemonės</t>
  </si>
  <si>
    <t>4.5.1.</t>
  </si>
  <si>
    <t>Medeliams ir želdiniams sodinti ir prižiūrėti:</t>
  </si>
  <si>
    <t>4.5.1.1.</t>
  </si>
  <si>
    <t>4.5.1.2.</t>
  </si>
  <si>
    <t xml:space="preserve">Gudžiūnų seniūnijai </t>
  </si>
  <si>
    <t>4.5.1.3.</t>
  </si>
  <si>
    <t xml:space="preserve">Josvainių seniūnijai </t>
  </si>
  <si>
    <t>4.5.1.4.</t>
  </si>
  <si>
    <t>4.5.1.5.</t>
  </si>
  <si>
    <t>4.5.1.6.</t>
  </si>
  <si>
    <t>4.5.1.7.</t>
  </si>
  <si>
    <t>4.5.1.8.</t>
  </si>
  <si>
    <t>4.5.1.9.</t>
  </si>
  <si>
    <t>4.5.1.10.</t>
  </si>
  <si>
    <t>Truskavos seniūnijai</t>
  </si>
  <si>
    <t>4.5.1.11.</t>
  </si>
  <si>
    <t>4.5.2.</t>
  </si>
  <si>
    <t>Kaštoninio karšelio gaudyklėms įsigyti</t>
  </si>
  <si>
    <t>4.5.3.</t>
  </si>
  <si>
    <t>4.5.4.</t>
  </si>
  <si>
    <t>Viešųjų erdvių apželdinimas Kėdainių m.</t>
  </si>
  <si>
    <t>4.5.5.</t>
  </si>
  <si>
    <t>Želdynų ir želdinių apsaugos, tvarkymo ir priežiūros dokumentacijos parengimui</t>
  </si>
  <si>
    <t>Želdynų kūrimo ir tvarkymo projektų rengimui</t>
  </si>
  <si>
    <t>4.6.</t>
  </si>
  <si>
    <t>Kitos išlaidos</t>
  </si>
  <si>
    <t>Iš viso:</t>
  </si>
  <si>
    <t xml:space="preserve">                                                __________________________</t>
  </si>
  <si>
    <t xml:space="preserve">                                              2024 m. lapkričio 29 d. sprendimo Nr. TS-</t>
  </si>
  <si>
    <t xml:space="preserve">                                                                             2024 m. lapkričio 29 d. sprendimo Nr. TS-</t>
  </si>
  <si>
    <t xml:space="preserve">                                                           2024 m. lapkričio 29 d. sprendimo Nr. TS-</t>
  </si>
  <si>
    <t xml:space="preserve">                                                            2024 m. lapkričio 29 d. sprendimo Nr. TS-</t>
  </si>
  <si>
    <t>04.2</t>
  </si>
  <si>
    <t>10.1</t>
  </si>
  <si>
    <t xml:space="preserve">iš jų: organizuoti sveikatos stiprinimo programas tėvams "Neįtikėtini metai" ir/ ar "Augame žaisdami" </t>
  </si>
  <si>
    <t>Modernizuoti sveikatos centro sudėtyje teikiamų sveikatos priežiūtos paslaugų infrastruktūrą  Kėdainių rajono savivaldybėje</t>
  </si>
  <si>
    <t>Teikti atvėjo vadybininko paslaugą, asmenims turintiems intelekto ir (ar) psichikos negalią</t>
  </si>
  <si>
    <t xml:space="preserve">Administruoti materialinio nepritekliaus mažinimo programą Lietuvoje </t>
  </si>
  <si>
    <t>30.9.13</t>
  </si>
  <si>
    <t>Pirminės asmens sveikatos priežiūros paslaugų prieinamumo ir kokybės užtikrinimo Kėdainių rajono kaimiškųjų vietovių gyventojams programa</t>
  </si>
  <si>
    <t xml:space="preserve">Nekilnojamųjų kultūros vertybių vertinimo medžiagos, nekilnojamųjų kultūros paveldo objektų, vietovių  individualius apsaugos reglamentų rengimas finansavimo programa </t>
  </si>
  <si>
    <t>Kėdainių rajono savivaldybės 2024 m. valstybei nuosavybės teise priklausančių melioracijos statinių priežiūrai ir remonto darbams įskaitant priešprojektinius tyrinėjimus, techninės sąmatinės dokumentacijos sudarymą, ekspertizę, darbų techninę priežiūrą bei kitus susijusius darbus</t>
  </si>
  <si>
    <t>111.10</t>
  </si>
  <si>
    <t xml:space="preserve">Skirti UAB „Kėdainių butai“ piniginį akcininko įnašą nuosavam kapitalui atkurti </t>
  </si>
  <si>
    <t>"Tūkstantmečio mokyklos I"  projekto įgyvendinimas</t>
  </si>
  <si>
    <t>4 priedas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</si>
</sst>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_(* #,##0.00_);_(* \(#,##0.00\);_(* &quot;-&quot;??_);_(@_)"/>
    <numFmt numFmtId="165" formatCode="_-* #,##0.00\ _€_-;\-* #,##0.00\ _€_-;_-* &quot;-&quot;??\ _€_-;_-@_-"/>
    <numFmt numFmtId="166" formatCode="_-* #,##0.00\ _L_t_-;\-* #,##0.00\ _L_t_-;_-* &quot;-&quot;??\ _L_t_-;_-@_-"/>
    <numFmt numFmtId="167" formatCode="0.0"/>
    <numFmt numFmtId="168" formatCode="#,##0.0"/>
    <numFmt numFmtId="169" formatCode="0.0_ ;\-0.0\ "/>
    <numFmt numFmtId="170" formatCode="#,##0.0_ ;\-#,##0.0\ "/>
    <numFmt numFmtId="171" formatCode="0.0;\-0.0;;"/>
  </numFmts>
  <fonts count="28" x14ac:knownFonts="1">
    <font>
      <sz val="10"/>
      <name val="Arial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12"/>
      <name val="Times New Roman"/>
      <family val="1"/>
      <charset val="186"/>
    </font>
    <font>
      <sz val="9"/>
      <name val="Times New Roman"/>
      <family val="1"/>
      <charset val="186"/>
    </font>
    <font>
      <sz val="8"/>
      <name val="Arial"/>
      <family val="2"/>
      <charset val="186"/>
    </font>
    <font>
      <i/>
      <sz val="10"/>
      <name val="Times New Roman"/>
      <family val="1"/>
      <charset val="186"/>
    </font>
    <font>
      <sz val="10"/>
      <name val="Arial"/>
      <family val="2"/>
      <charset val="186"/>
    </font>
    <font>
      <b/>
      <sz val="9"/>
      <name val="Times New Roman"/>
      <family val="1"/>
      <charset val="186"/>
    </font>
    <font>
      <sz val="8"/>
      <name val="Times New Roman"/>
      <family val="1"/>
      <charset val="186"/>
    </font>
    <font>
      <sz val="8"/>
      <name val="Arial"/>
      <family val="2"/>
      <charset val="186"/>
    </font>
    <font>
      <sz val="11"/>
      <color theme="1"/>
      <name val="Calibri"/>
      <family val="2"/>
      <charset val="186"/>
      <scheme val="minor"/>
    </font>
    <font>
      <sz val="10"/>
      <color rgb="FFFF0000"/>
      <name val="Times New Roman"/>
      <family val="1"/>
      <charset val="186"/>
    </font>
    <font>
      <sz val="8"/>
      <name val="Arial"/>
      <family val="2"/>
      <charset val="186"/>
    </font>
    <font>
      <sz val="10"/>
      <color theme="1"/>
      <name val="Times New Roman"/>
      <family val="1"/>
      <charset val="186"/>
    </font>
    <font>
      <sz val="10"/>
      <color rgb="FF7030A0"/>
      <name val="Times New Roman"/>
      <family val="1"/>
      <charset val="186"/>
    </font>
    <font>
      <sz val="8"/>
      <name val="Arial"/>
      <family val="2"/>
      <charset val="186"/>
    </font>
    <font>
      <sz val="10"/>
      <name val="Times New Roman"/>
      <family val="1"/>
    </font>
    <font>
      <b/>
      <sz val="12"/>
      <name val="Times New Roman"/>
      <family val="1"/>
      <charset val="186"/>
    </font>
    <font>
      <b/>
      <sz val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b/>
      <i/>
      <sz val="10"/>
      <name val="Times New Roman"/>
      <family val="1"/>
    </font>
    <font>
      <i/>
      <sz val="10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b/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1">
    <xf numFmtId="0" fontId="0" fillId="0" borderId="0"/>
    <xf numFmtId="0" fontId="7" fillId="0" borderId="0"/>
    <xf numFmtId="0" fontId="1" fillId="0" borderId="0"/>
    <xf numFmtId="0" fontId="7" fillId="0" borderId="0"/>
    <xf numFmtId="0" fontId="11" fillId="0" borderId="0"/>
    <xf numFmtId="166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6" fontId="1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7" fillId="0" borderId="0"/>
  </cellStyleXfs>
  <cellXfs count="304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167" fontId="1" fillId="0" borderId="0" xfId="0" applyNumberFormat="1" applyFont="1"/>
    <xf numFmtId="167" fontId="2" fillId="0" borderId="0" xfId="0" applyNumberFormat="1" applyFont="1"/>
    <xf numFmtId="0" fontId="1" fillId="0" borderId="0" xfId="0" applyFont="1" applyAlignment="1">
      <alignment horizontal="right"/>
    </xf>
    <xf numFmtId="168" fontId="1" fillId="0" borderId="0" xfId="0" applyNumberFormat="1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167" fontId="1" fillId="0" borderId="0" xfId="0" applyNumberFormat="1" applyFont="1" applyAlignment="1">
      <alignment horizontal="right"/>
    </xf>
    <xf numFmtId="168" fontId="2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168" fontId="2" fillId="0" borderId="0" xfId="0" applyNumberFormat="1" applyFont="1" applyAlignment="1">
      <alignment horizontal="center" vertical="center" wrapText="1"/>
    </xf>
    <xf numFmtId="168" fontId="1" fillId="0" borderId="0" xfId="0" applyNumberFormat="1" applyFont="1" applyAlignment="1">
      <alignment horizontal="right" vertical="center"/>
    </xf>
    <xf numFmtId="167" fontId="1" fillId="0" borderId="0" xfId="0" applyNumberFormat="1" applyFont="1" applyAlignment="1">
      <alignment vertical="center"/>
    </xf>
    <xf numFmtId="168" fontId="2" fillId="0" borderId="0" xfId="0" applyNumberFormat="1" applyFont="1" applyAlignment="1">
      <alignment horizontal="right" vertical="center"/>
    </xf>
    <xf numFmtId="167" fontId="1" fillId="0" borderId="0" xfId="0" applyNumberFormat="1" applyFont="1" applyAlignment="1">
      <alignment horizontal="right" vertical="center"/>
    </xf>
    <xf numFmtId="170" fontId="1" fillId="0" borderId="0" xfId="0" applyNumberFormat="1" applyFont="1" applyAlignment="1">
      <alignment vertical="center"/>
    </xf>
    <xf numFmtId="167" fontId="1" fillId="0" borderId="0" xfId="0" applyNumberFormat="1" applyFont="1" applyAlignment="1">
      <alignment horizontal="center"/>
    </xf>
    <xf numFmtId="49" fontId="1" fillId="0" borderId="0" xfId="0" applyNumberFormat="1" applyFont="1" applyAlignment="1">
      <alignment vertical="center"/>
    </xf>
    <xf numFmtId="0" fontId="4" fillId="0" borderId="0" xfId="0" applyFont="1" applyAlignment="1">
      <alignment horizontal="right" vertical="center"/>
    </xf>
    <xf numFmtId="49" fontId="1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center"/>
    </xf>
    <xf numFmtId="0" fontId="8" fillId="0" borderId="0" xfId="0" applyFont="1" applyAlignment="1">
      <alignment horizontal="center" vertical="center" wrapText="1"/>
    </xf>
    <xf numFmtId="168" fontId="6" fillId="0" borderId="0" xfId="0" applyNumberFormat="1" applyFont="1" applyAlignment="1">
      <alignment horizontal="center" vertical="center" wrapText="1"/>
    </xf>
    <xf numFmtId="168" fontId="6" fillId="0" borderId="0" xfId="0" applyNumberFormat="1" applyFont="1" applyAlignment="1">
      <alignment horizontal="right" vertical="center"/>
    </xf>
    <xf numFmtId="170" fontId="2" fillId="0" borderId="0" xfId="0" applyNumberFormat="1" applyFont="1" applyAlignment="1">
      <alignment horizontal="center" vertical="center"/>
    </xf>
    <xf numFmtId="168" fontId="1" fillId="0" borderId="0" xfId="0" applyNumberFormat="1" applyFont="1" applyAlignment="1">
      <alignment horizontal="center" vertical="center" wrapText="1"/>
    </xf>
    <xf numFmtId="0" fontId="1" fillId="0" borderId="0" xfId="1" applyFont="1" applyAlignment="1">
      <alignment vertical="center"/>
    </xf>
    <xf numFmtId="168" fontId="1" fillId="0" borderId="0" xfId="0" applyNumberFormat="1" applyFont="1"/>
    <xf numFmtId="0" fontId="3" fillId="0" borderId="0" xfId="0" applyFont="1" applyAlignment="1">
      <alignment horizontal="right"/>
    </xf>
    <xf numFmtId="0" fontId="3" fillId="0" borderId="0" xfId="1" applyFont="1" applyAlignment="1">
      <alignment horizontal="right"/>
    </xf>
    <xf numFmtId="0" fontId="3" fillId="0" borderId="0" xfId="1" applyFont="1" applyAlignment="1">
      <alignment horizontal="right" vertical="center"/>
    </xf>
    <xf numFmtId="0" fontId="2" fillId="0" borderId="0" xfId="1" applyFont="1" applyAlignment="1">
      <alignment vertical="center"/>
    </xf>
    <xf numFmtId="0" fontId="1" fillId="0" borderId="0" xfId="1" applyFont="1"/>
    <xf numFmtId="0" fontId="1" fillId="0" borderId="0" xfId="1" applyFont="1" applyAlignment="1">
      <alignment horizontal="right"/>
    </xf>
    <xf numFmtId="0" fontId="2" fillId="0" borderId="1" xfId="1" applyFont="1" applyBorder="1" applyAlignment="1">
      <alignment vertical="center"/>
    </xf>
    <xf numFmtId="0" fontId="2" fillId="0" borderId="1" xfId="1" applyFont="1" applyBorder="1" applyAlignment="1">
      <alignment horizontal="center" vertical="center"/>
    </xf>
    <xf numFmtId="0" fontId="1" fillId="0" borderId="1" xfId="1" applyFont="1" applyBorder="1" applyAlignment="1">
      <alignment horizontal="right" vertical="center"/>
    </xf>
    <xf numFmtId="168" fontId="2" fillId="0" borderId="1" xfId="0" applyNumberFormat="1" applyFont="1" applyBorder="1"/>
    <xf numFmtId="0" fontId="1" fillId="0" borderId="1" xfId="1" applyFont="1" applyBorder="1" applyAlignment="1">
      <alignment vertical="center"/>
    </xf>
    <xf numFmtId="168" fontId="1" fillId="0" borderId="1" xfId="0" applyNumberFormat="1" applyFont="1" applyBorder="1" applyAlignment="1">
      <alignment vertical="center"/>
    </xf>
    <xf numFmtId="0" fontId="1" fillId="0" borderId="1" xfId="1" applyFont="1" applyBorder="1" applyAlignment="1">
      <alignment vertical="center" wrapText="1"/>
    </xf>
    <xf numFmtId="18" fontId="1" fillId="0" borderId="0" xfId="0" applyNumberFormat="1" applyFont="1"/>
    <xf numFmtId="168" fontId="2" fillId="0" borderId="0" xfId="0" applyNumberFormat="1" applyFont="1"/>
    <xf numFmtId="168" fontId="2" fillId="0" borderId="1" xfId="0" applyNumberFormat="1" applyFont="1" applyBorder="1" applyAlignment="1">
      <alignment vertical="center"/>
    </xf>
    <xf numFmtId="167" fontId="12" fillId="0" borderId="0" xfId="0" applyNumberFormat="1" applyFont="1"/>
    <xf numFmtId="0" fontId="1" fillId="0" borderId="1" xfId="0" applyFont="1" applyBorder="1" applyAlignment="1">
      <alignment horizontal="justify" vertical="center" wrapText="1"/>
    </xf>
    <xf numFmtId="1" fontId="1" fillId="0" borderId="0" xfId="0" applyNumberFormat="1" applyFont="1"/>
    <xf numFmtId="0" fontId="1" fillId="0" borderId="1" xfId="1" applyFont="1" applyBorder="1" applyAlignment="1">
      <alignment horizontal="justify" vertical="center" wrapText="1"/>
    </xf>
    <xf numFmtId="168" fontId="12" fillId="0" borderId="0" xfId="0" applyNumberFormat="1" applyFont="1"/>
    <xf numFmtId="0" fontId="12" fillId="0" borderId="0" xfId="0" applyFont="1"/>
    <xf numFmtId="0" fontId="2" fillId="0" borderId="1" xfId="0" applyFont="1" applyBorder="1" applyAlignment="1">
      <alignment wrapText="1"/>
    </xf>
    <xf numFmtId="0" fontId="2" fillId="0" borderId="1" xfId="1" applyFont="1" applyBorder="1" applyAlignment="1">
      <alignment horizontal="right" vertical="center"/>
    </xf>
    <xf numFmtId="0" fontId="2" fillId="0" borderId="1" xfId="0" applyFont="1" applyBorder="1"/>
    <xf numFmtId="168" fontId="1" fillId="0" borderId="1" xfId="0" applyNumberFormat="1" applyFont="1" applyBorder="1"/>
    <xf numFmtId="49" fontId="1" fillId="0" borderId="1" xfId="1" applyNumberFormat="1" applyFont="1" applyBorder="1" applyAlignment="1">
      <alignment horizontal="right" vertical="center"/>
    </xf>
    <xf numFmtId="0" fontId="1" fillId="0" borderId="1" xfId="0" applyFont="1" applyBorder="1"/>
    <xf numFmtId="168" fontId="2" fillId="0" borderId="0" xfId="1" applyNumberFormat="1" applyFont="1"/>
    <xf numFmtId="0" fontId="3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right" vertical="center" wrapText="1"/>
    </xf>
    <xf numFmtId="167" fontId="1" fillId="0" borderId="2" xfId="0" applyNumberFormat="1" applyFont="1" applyBorder="1" applyAlignment="1">
      <alignment vertical="center"/>
    </xf>
    <xf numFmtId="168" fontId="1" fillId="0" borderId="1" xfId="0" applyNumberFormat="1" applyFont="1" applyBorder="1" applyAlignment="1">
      <alignment horizontal="right" vertical="center" wrapText="1"/>
    </xf>
    <xf numFmtId="167" fontId="1" fillId="0" borderId="1" xfId="0" applyNumberFormat="1" applyFont="1" applyBorder="1"/>
    <xf numFmtId="167" fontId="1" fillId="0" borderId="1" xfId="0" applyNumberFormat="1" applyFont="1" applyBorder="1" applyAlignment="1">
      <alignment vertical="center" wrapText="1"/>
    </xf>
    <xf numFmtId="167" fontId="1" fillId="0" borderId="2" xfId="0" applyNumberFormat="1" applyFont="1" applyBorder="1" applyAlignment="1">
      <alignment vertical="center" wrapText="1"/>
    </xf>
    <xf numFmtId="167" fontId="1" fillId="0" borderId="3" xfId="0" applyNumberFormat="1" applyFont="1" applyBorder="1" applyAlignment="1">
      <alignment vertical="center" wrapText="1"/>
    </xf>
    <xf numFmtId="167" fontId="1" fillId="0" borderId="3" xfId="0" applyNumberFormat="1" applyFont="1" applyBorder="1" applyAlignment="1">
      <alignment vertical="center"/>
    </xf>
    <xf numFmtId="167" fontId="1" fillId="0" borderId="3" xfId="19" applyNumberFormat="1" applyBorder="1" applyAlignment="1">
      <alignment vertical="center"/>
    </xf>
    <xf numFmtId="167" fontId="1" fillId="0" borderId="3" xfId="0" applyNumberFormat="1" applyFont="1" applyBorder="1" applyAlignment="1">
      <alignment horizontal="left" vertical="center" wrapText="1"/>
    </xf>
    <xf numFmtId="167" fontId="1" fillId="0" borderId="1" xfId="0" applyNumberFormat="1" applyFont="1" applyBorder="1" applyAlignment="1">
      <alignment vertical="center"/>
    </xf>
    <xf numFmtId="167" fontId="1" fillId="0" borderId="3" xfId="0" applyNumberFormat="1" applyFont="1" applyBorder="1" applyAlignment="1">
      <alignment horizontal="left" vertical="center"/>
    </xf>
    <xf numFmtId="49" fontId="2" fillId="0" borderId="2" xfId="0" applyNumberFormat="1" applyFont="1" applyBorder="1" applyAlignment="1">
      <alignment horizontal="right" vertical="center"/>
    </xf>
    <xf numFmtId="168" fontId="2" fillId="0" borderId="1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 wrapText="1"/>
    </xf>
    <xf numFmtId="0" fontId="1" fillId="0" borderId="6" xfId="0" applyFont="1" applyBorder="1" applyAlignment="1">
      <alignment horizontal="right" vertical="center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2" fillId="0" borderId="1" xfId="0" applyFont="1" applyBorder="1" applyAlignment="1">
      <alignment horizontal="left" vertical="center" wrapText="1"/>
    </xf>
    <xf numFmtId="168" fontId="2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168" fontId="1" fillId="0" borderId="1" xfId="0" applyNumberFormat="1" applyFont="1" applyBorder="1" applyAlignment="1">
      <alignment horizontal="right" vertical="center"/>
    </xf>
    <xf numFmtId="49" fontId="1" fillId="0" borderId="4" xfId="0" applyNumberFormat="1" applyFont="1" applyBorder="1" applyAlignment="1">
      <alignment horizontal="center" vertical="center"/>
    </xf>
    <xf numFmtId="167" fontId="1" fillId="0" borderId="1" xfId="19" applyNumberFormat="1" applyBorder="1" applyAlignment="1">
      <alignment horizontal="left" vertical="center" wrapText="1"/>
    </xf>
    <xf numFmtId="167" fontId="1" fillId="0" borderId="1" xfId="19" applyNumberFormat="1" applyBorder="1" applyAlignment="1">
      <alignment vertical="center" wrapText="1"/>
    </xf>
    <xf numFmtId="167" fontId="1" fillId="0" borderId="1" xfId="0" applyNumberFormat="1" applyFont="1" applyBorder="1" applyAlignment="1">
      <alignment horizontal="left" vertical="center" wrapText="1"/>
    </xf>
    <xf numFmtId="168" fontId="1" fillId="0" borderId="1" xfId="19" applyNumberFormat="1" applyBorder="1" applyAlignment="1">
      <alignment horizontal="right" vertical="center"/>
    </xf>
    <xf numFmtId="0" fontId="1" fillId="0" borderId="1" xfId="0" applyFont="1" applyBorder="1" applyAlignment="1">
      <alignment vertical="center" wrapText="1"/>
    </xf>
    <xf numFmtId="49" fontId="1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left" vertical="center" wrapText="1"/>
    </xf>
    <xf numFmtId="167" fontId="6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167" fontId="1" fillId="0" borderId="1" xfId="19" applyNumberFormat="1" applyBorder="1" applyAlignment="1">
      <alignment vertical="center"/>
    </xf>
    <xf numFmtId="0" fontId="1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vertical="center" wrapText="1"/>
    </xf>
    <xf numFmtId="167" fontId="2" fillId="0" borderId="1" xfId="0" applyNumberFormat="1" applyFont="1" applyBorder="1" applyAlignment="1">
      <alignment vertical="center" wrapText="1"/>
    </xf>
    <xf numFmtId="0" fontId="2" fillId="0" borderId="0" xfId="0" applyFont="1"/>
    <xf numFmtId="0" fontId="1" fillId="0" borderId="0" xfId="0" applyFont="1" applyAlignment="1">
      <alignment vertical="center" wrapText="1"/>
    </xf>
    <xf numFmtId="0" fontId="17" fillId="0" borderId="0" xfId="0" applyFont="1" applyAlignment="1">
      <alignment horizontal="right" vertical="center"/>
    </xf>
    <xf numFmtId="0" fontId="17" fillId="0" borderId="0" xfId="0" applyFont="1" applyAlignment="1">
      <alignment horizontal="center" vertical="center"/>
    </xf>
    <xf numFmtId="0" fontId="17" fillId="0" borderId="0" xfId="0" applyFont="1"/>
    <xf numFmtId="49" fontId="17" fillId="0" borderId="0" xfId="0" applyNumberFormat="1" applyFont="1" applyAlignment="1">
      <alignment horizontal="center" vertical="center"/>
    </xf>
    <xf numFmtId="0" fontId="17" fillId="0" borderId="0" xfId="0" applyFont="1" applyAlignment="1">
      <alignment vertical="center"/>
    </xf>
    <xf numFmtId="0" fontId="20" fillId="0" borderId="0" xfId="0" applyFont="1" applyAlignment="1">
      <alignment horizontal="right" vertical="center"/>
    </xf>
    <xf numFmtId="0" fontId="17" fillId="0" borderId="0" xfId="0" applyFont="1" applyAlignment="1">
      <alignment horizontal="left"/>
    </xf>
    <xf numFmtId="49" fontId="21" fillId="0" borderId="0" xfId="0" applyNumberFormat="1" applyFont="1" applyAlignment="1">
      <alignment horizontal="center" vertical="center" wrapText="1"/>
    </xf>
    <xf numFmtId="0" fontId="17" fillId="0" borderId="6" xfId="0" applyFont="1" applyBorder="1" applyAlignment="1">
      <alignment horizontal="right" vertical="center"/>
    </xf>
    <xf numFmtId="0" fontId="21" fillId="0" borderId="1" xfId="0" applyFont="1" applyBorder="1" applyAlignment="1">
      <alignment horizontal="center" vertical="center" wrapText="1"/>
    </xf>
    <xf numFmtId="49" fontId="21" fillId="0" borderId="1" xfId="0" applyNumberFormat="1" applyFont="1" applyBorder="1" applyAlignment="1">
      <alignment horizontal="center" vertical="center" wrapText="1"/>
    </xf>
    <xf numFmtId="167" fontId="17" fillId="0" borderId="0" xfId="0" applyNumberFormat="1" applyFont="1"/>
    <xf numFmtId="0" fontId="21" fillId="0" borderId="1" xfId="0" applyFont="1" applyBorder="1" applyAlignment="1">
      <alignment horizontal="center" vertical="center"/>
    </xf>
    <xf numFmtId="49" fontId="21" fillId="0" borderId="1" xfId="0" applyNumberFormat="1" applyFont="1" applyBorder="1" applyAlignment="1">
      <alignment horizontal="center" vertical="center"/>
    </xf>
    <xf numFmtId="0" fontId="17" fillId="0" borderId="1" xfId="0" applyFont="1" applyBorder="1" applyAlignment="1">
      <alignment horizontal="right" vertical="center"/>
    </xf>
    <xf numFmtId="0" fontId="21" fillId="0" borderId="1" xfId="0" applyFont="1" applyBorder="1" applyAlignment="1">
      <alignment horizontal="left" vertical="center" wrapText="1"/>
    </xf>
    <xf numFmtId="168" fontId="21" fillId="0" borderId="1" xfId="0" applyNumberFormat="1" applyFont="1" applyBorder="1" applyAlignment="1">
      <alignment horizontal="center" vertical="center" wrapText="1"/>
    </xf>
    <xf numFmtId="168" fontId="21" fillId="0" borderId="0" xfId="0" applyNumberFormat="1" applyFont="1" applyAlignment="1">
      <alignment horizontal="center" vertical="center" wrapText="1"/>
    </xf>
    <xf numFmtId="49" fontId="17" fillId="0" borderId="1" xfId="0" applyNumberFormat="1" applyFont="1" applyBorder="1" applyAlignment="1">
      <alignment horizontal="center" vertical="center"/>
    </xf>
    <xf numFmtId="167" fontId="17" fillId="0" borderId="1" xfId="0" applyNumberFormat="1" applyFont="1" applyBorder="1" applyAlignment="1">
      <alignment vertical="center"/>
    </xf>
    <xf numFmtId="168" fontId="17" fillId="0" borderId="1" xfId="0" applyNumberFormat="1" applyFont="1" applyBorder="1" applyAlignment="1">
      <alignment horizontal="right" vertical="center"/>
    </xf>
    <xf numFmtId="167" fontId="17" fillId="0" borderId="1" xfId="0" applyNumberFormat="1" applyFont="1" applyBorder="1" applyAlignment="1">
      <alignment vertical="center" wrapText="1"/>
    </xf>
    <xf numFmtId="167" fontId="17" fillId="0" borderId="2" xfId="0" applyNumberFormat="1" applyFont="1" applyBorder="1" applyAlignment="1">
      <alignment vertical="center" wrapText="1"/>
    </xf>
    <xf numFmtId="167" fontId="17" fillId="0" borderId="2" xfId="0" applyNumberFormat="1" applyFont="1" applyBorder="1" applyAlignment="1">
      <alignment vertical="center"/>
    </xf>
    <xf numFmtId="49" fontId="17" fillId="0" borderId="4" xfId="0" applyNumberFormat="1" applyFont="1" applyBorder="1" applyAlignment="1">
      <alignment horizontal="center" vertical="center"/>
    </xf>
    <xf numFmtId="167" fontId="17" fillId="0" borderId="1" xfId="19" applyNumberFormat="1" applyFont="1" applyBorder="1" applyAlignment="1">
      <alignment horizontal="left" vertical="center" wrapText="1"/>
    </xf>
    <xf numFmtId="167" fontId="17" fillId="0" borderId="1" xfId="19" applyNumberFormat="1" applyFont="1" applyBorder="1" applyAlignment="1">
      <alignment vertical="center" wrapText="1"/>
    </xf>
    <xf numFmtId="167" fontId="17" fillId="0" borderId="1" xfId="0" applyNumberFormat="1" applyFont="1" applyBorder="1" applyAlignment="1">
      <alignment horizontal="left" vertical="center" wrapText="1"/>
    </xf>
    <xf numFmtId="168" fontId="17" fillId="0" borderId="1" xfId="19" applyNumberFormat="1" applyFont="1" applyBorder="1" applyAlignment="1">
      <alignment horizontal="right" vertical="center"/>
    </xf>
    <xf numFmtId="49" fontId="22" fillId="0" borderId="1" xfId="0" applyNumberFormat="1" applyFont="1" applyBorder="1" applyAlignment="1">
      <alignment horizontal="right" vertical="center"/>
    </xf>
    <xf numFmtId="49" fontId="23" fillId="0" borderId="1" xfId="0" applyNumberFormat="1" applyFont="1" applyBorder="1" applyAlignment="1">
      <alignment vertical="center" wrapText="1"/>
    </xf>
    <xf numFmtId="168" fontId="21" fillId="0" borderId="1" xfId="0" applyNumberFormat="1" applyFont="1" applyBorder="1" applyAlignment="1">
      <alignment horizontal="right" vertical="center"/>
    </xf>
    <xf numFmtId="0" fontId="17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left" vertical="top" wrapText="1"/>
    </xf>
    <xf numFmtId="168" fontId="17" fillId="0" borderId="1" xfId="19" applyNumberFormat="1" applyFont="1" applyBorder="1" applyAlignment="1">
      <alignment horizontal="right" vertical="top"/>
    </xf>
    <xf numFmtId="49" fontId="17" fillId="0" borderId="1" xfId="0" applyNumberFormat="1" applyFont="1" applyBorder="1" applyAlignment="1">
      <alignment vertical="center" wrapText="1"/>
    </xf>
    <xf numFmtId="0" fontId="17" fillId="0" borderId="1" xfId="0" applyFont="1" applyBorder="1" applyAlignment="1">
      <alignment horizontal="center" vertical="center"/>
    </xf>
    <xf numFmtId="168" fontId="17" fillId="0" borderId="1" xfId="0" applyNumberFormat="1" applyFont="1" applyBorder="1" applyAlignment="1">
      <alignment vertical="center"/>
    </xf>
    <xf numFmtId="49" fontId="21" fillId="0" borderId="1" xfId="0" applyNumberFormat="1" applyFont="1" applyBorder="1" applyAlignment="1">
      <alignment horizontal="left" vertical="center" wrapText="1"/>
    </xf>
    <xf numFmtId="168" fontId="21" fillId="0" borderId="1" xfId="0" applyNumberFormat="1" applyFont="1" applyBorder="1" applyAlignment="1">
      <alignment horizontal="center" vertical="center"/>
    </xf>
    <xf numFmtId="0" fontId="17" fillId="0" borderId="4" xfId="0" applyFont="1" applyBorder="1" applyAlignment="1">
      <alignment horizontal="right" vertical="center"/>
    </xf>
    <xf numFmtId="167" fontId="24" fillId="0" borderId="1" xfId="0" applyNumberFormat="1" applyFont="1" applyBorder="1" applyAlignment="1">
      <alignment vertical="center" wrapText="1"/>
    </xf>
    <xf numFmtId="0" fontId="17" fillId="0" borderId="1" xfId="17" applyFont="1" applyBorder="1" applyAlignment="1">
      <alignment vertical="center" wrapText="1"/>
    </xf>
    <xf numFmtId="0" fontId="17" fillId="0" borderId="7" xfId="17" applyFont="1" applyBorder="1" applyAlignment="1">
      <alignment vertical="center" wrapText="1"/>
    </xf>
    <xf numFmtId="168" fontId="17" fillId="0" borderId="7" xfId="0" applyNumberFormat="1" applyFont="1" applyBorder="1" applyAlignment="1">
      <alignment horizontal="right" vertical="center"/>
    </xf>
    <xf numFmtId="0" fontId="24" fillId="0" borderId="1" xfId="0" applyFont="1" applyBorder="1" applyAlignment="1">
      <alignment horizontal="left" vertical="center" wrapText="1"/>
    </xf>
    <xf numFmtId="167" fontId="17" fillId="0" borderId="1" xfId="19" applyNumberFormat="1" applyFont="1" applyBorder="1" applyAlignment="1">
      <alignment vertical="center"/>
    </xf>
    <xf numFmtId="168" fontId="21" fillId="0" borderId="1" xfId="19" applyNumberFormat="1" applyFont="1" applyBorder="1" applyAlignment="1">
      <alignment horizontal="right" vertical="center"/>
    </xf>
    <xf numFmtId="168" fontId="17" fillId="0" borderId="0" xfId="0" applyNumberFormat="1" applyFont="1"/>
    <xf numFmtId="0" fontId="24" fillId="0" borderId="1" xfId="17" applyFont="1" applyBorder="1" applyAlignment="1">
      <alignment vertical="center" wrapText="1"/>
    </xf>
    <xf numFmtId="167" fontId="21" fillId="0" borderId="1" xfId="0" applyNumberFormat="1" applyFont="1" applyBorder="1" applyAlignment="1">
      <alignment vertical="center" wrapText="1"/>
    </xf>
    <xf numFmtId="0" fontId="22" fillId="0" borderId="1" xfId="0" applyFont="1" applyBorder="1" applyAlignment="1">
      <alignment horizontal="right" vertical="center"/>
    </xf>
    <xf numFmtId="49" fontId="25" fillId="0" borderId="1" xfId="0" applyNumberFormat="1" applyFont="1" applyBorder="1" applyAlignment="1">
      <alignment horizontal="left" vertical="center" wrapText="1"/>
    </xf>
    <xf numFmtId="49" fontId="26" fillId="0" borderId="1" xfId="0" applyNumberFormat="1" applyFont="1" applyBorder="1" applyAlignment="1">
      <alignment horizontal="left" vertical="center" wrapText="1"/>
    </xf>
    <xf numFmtId="168" fontId="17" fillId="0" borderId="1" xfId="0" applyNumberFormat="1" applyFont="1" applyBorder="1" applyAlignment="1">
      <alignment horizontal="right" vertical="center" wrapText="1"/>
    </xf>
    <xf numFmtId="0" fontId="17" fillId="0" borderId="1" xfId="0" applyFont="1" applyBorder="1" applyAlignment="1">
      <alignment horizontal="left" vertical="center"/>
    </xf>
    <xf numFmtId="168" fontId="17" fillId="0" borderId="0" xfId="0" applyNumberFormat="1" applyFont="1" applyAlignment="1">
      <alignment horizontal="right" vertical="center"/>
    </xf>
    <xf numFmtId="49" fontId="27" fillId="0" borderId="1" xfId="0" applyNumberFormat="1" applyFont="1" applyBorder="1" applyAlignment="1">
      <alignment horizontal="right" vertical="center" wrapText="1"/>
    </xf>
    <xf numFmtId="167" fontId="21" fillId="0" borderId="0" xfId="0" applyNumberFormat="1" applyFont="1"/>
    <xf numFmtId="0" fontId="21" fillId="0" borderId="0" xfId="0" applyFont="1"/>
    <xf numFmtId="0" fontId="17" fillId="0" borderId="0" xfId="0" applyFont="1" applyAlignment="1">
      <alignment vertical="center" wrapText="1"/>
    </xf>
    <xf numFmtId="168" fontId="17" fillId="0" borderId="0" xfId="0" applyNumberFormat="1" applyFont="1" applyAlignment="1">
      <alignment vertical="center"/>
    </xf>
    <xf numFmtId="168" fontId="21" fillId="0" borderId="0" xfId="0" applyNumberFormat="1" applyFont="1" applyAlignment="1">
      <alignment vertical="center"/>
    </xf>
    <xf numFmtId="0" fontId="19" fillId="0" borderId="0" xfId="0" applyFont="1" applyAlignment="1">
      <alignment horizontal="right" vertical="center"/>
    </xf>
    <xf numFmtId="0" fontId="24" fillId="0" borderId="0" xfId="0" applyFont="1" applyAlignment="1">
      <alignment horizontal="right" vertical="center"/>
    </xf>
    <xf numFmtId="167" fontId="17" fillId="0" borderId="0" xfId="0" applyNumberFormat="1" applyFont="1" applyAlignment="1">
      <alignment vertical="center"/>
    </xf>
    <xf numFmtId="167" fontId="24" fillId="0" borderId="0" xfId="0" applyNumberFormat="1" applyFont="1" applyAlignment="1">
      <alignment vertical="center"/>
    </xf>
    <xf numFmtId="167" fontId="21" fillId="0" borderId="0" xfId="0" applyNumberFormat="1" applyFont="1" applyAlignment="1">
      <alignment vertical="center"/>
    </xf>
    <xf numFmtId="169" fontId="17" fillId="0" borderId="0" xfId="0" applyNumberFormat="1" applyFont="1" applyAlignment="1">
      <alignment vertical="center"/>
    </xf>
    <xf numFmtId="168" fontId="21" fillId="0" borderId="0" xfId="0" applyNumberFormat="1" applyFont="1" applyAlignment="1">
      <alignment horizontal="right" vertical="center"/>
    </xf>
    <xf numFmtId="170" fontId="2" fillId="0" borderId="1" xfId="0" applyNumberFormat="1" applyFont="1" applyBorder="1" applyAlignment="1">
      <alignment horizontal="center" vertical="center"/>
    </xf>
    <xf numFmtId="170" fontId="1" fillId="0" borderId="1" xfId="0" applyNumberFormat="1" applyFont="1" applyBorder="1" applyAlignment="1">
      <alignment horizontal="right" vertical="center"/>
    </xf>
    <xf numFmtId="49" fontId="2" fillId="0" borderId="1" xfId="0" applyNumberFormat="1" applyFont="1" applyBorder="1" applyAlignment="1">
      <alignment horizontal="right" vertical="center"/>
    </xf>
    <xf numFmtId="170" fontId="1" fillId="0" borderId="0" xfId="0" applyNumberFormat="1" applyFont="1" applyAlignment="1">
      <alignment horizontal="right" vertical="center"/>
    </xf>
    <xf numFmtId="0" fontId="3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167" fontId="1" fillId="0" borderId="1" xfId="0" applyNumberFormat="1" applyFont="1" applyBorder="1" applyAlignment="1">
      <alignment horizontal="left" vertical="center"/>
    </xf>
    <xf numFmtId="170" fontId="1" fillId="0" borderId="1" xfId="0" applyNumberFormat="1" applyFont="1" applyBorder="1" applyAlignment="1">
      <alignment horizontal="right" vertical="center" wrapText="1"/>
    </xf>
    <xf numFmtId="0" fontId="2" fillId="0" borderId="5" xfId="0" applyFont="1" applyBorder="1" applyAlignment="1">
      <alignment horizontal="left" vertical="center" wrapText="1"/>
    </xf>
    <xf numFmtId="167" fontId="1" fillId="0" borderId="5" xfId="0" applyNumberFormat="1" applyFont="1" applyBorder="1" applyAlignment="1">
      <alignment vertical="center" wrapText="1"/>
    </xf>
    <xf numFmtId="167" fontId="1" fillId="0" borderId="5" xfId="0" applyNumberFormat="1" applyFont="1" applyBorder="1" applyAlignment="1">
      <alignment vertical="center"/>
    </xf>
    <xf numFmtId="49" fontId="2" fillId="0" borderId="5" xfId="0" applyNumberFormat="1" applyFont="1" applyBorder="1" applyAlignment="1">
      <alignment horizontal="left" vertical="center" wrapText="1"/>
    </xf>
    <xf numFmtId="49" fontId="2" fillId="0" borderId="5" xfId="0" applyNumberFormat="1" applyFont="1" applyBorder="1" applyAlignment="1">
      <alignment horizontal="right" vertical="center"/>
    </xf>
    <xf numFmtId="167" fontId="1" fillId="0" borderId="2" xfId="0" applyNumberFormat="1" applyFont="1" applyBorder="1" applyAlignment="1">
      <alignment horizontal="left" vertical="center" wrapText="1"/>
    </xf>
    <xf numFmtId="167" fontId="9" fillId="0" borderId="0" xfId="0" applyNumberFormat="1" applyFont="1"/>
    <xf numFmtId="49" fontId="1" fillId="0" borderId="1" xfId="0" applyNumberFormat="1" applyFont="1" applyBorder="1" applyAlignment="1">
      <alignment horizontal="right" vertical="center"/>
    </xf>
    <xf numFmtId="168" fontId="2" fillId="0" borderId="1" xfId="19" applyNumberFormat="1" applyFont="1" applyBorder="1" applyAlignment="1">
      <alignment horizontal="center" vertical="center"/>
    </xf>
    <xf numFmtId="168" fontId="1" fillId="0" borderId="1" xfId="19" applyNumberFormat="1" applyBorder="1" applyAlignment="1">
      <alignment vertical="center"/>
    </xf>
    <xf numFmtId="49" fontId="1" fillId="0" borderId="5" xfId="0" applyNumberFormat="1" applyFont="1" applyBorder="1" applyAlignment="1">
      <alignment vertical="center" wrapText="1"/>
    </xf>
    <xf numFmtId="167" fontId="9" fillId="0" borderId="0" xfId="0" applyNumberFormat="1" applyFont="1" applyAlignment="1">
      <alignment vertical="center"/>
    </xf>
    <xf numFmtId="0" fontId="1" fillId="0" borderId="0" xfId="1" applyFont="1" applyAlignment="1">
      <alignment horizontal="left" vertical="center"/>
    </xf>
    <xf numFmtId="0" fontId="6" fillId="0" borderId="0" xfId="1" applyFont="1" applyAlignment="1">
      <alignment horizontal="left" vertical="center"/>
    </xf>
    <xf numFmtId="49" fontId="1" fillId="0" borderId="1" xfId="0" applyNumberFormat="1" applyFont="1" applyBorder="1" applyAlignment="1">
      <alignment horizontal="center" vertical="center" wrapText="1"/>
    </xf>
    <xf numFmtId="168" fontId="6" fillId="0" borderId="1" xfId="0" applyNumberFormat="1" applyFont="1" applyBorder="1" applyAlignment="1">
      <alignment horizontal="right" vertical="center" wrapText="1"/>
    </xf>
    <xf numFmtId="168" fontId="6" fillId="0" borderId="1" xfId="0" applyNumberFormat="1" applyFont="1" applyBorder="1" applyAlignment="1">
      <alignment horizontal="right" vertical="center"/>
    </xf>
    <xf numFmtId="0" fontId="6" fillId="0" borderId="1" xfId="0" applyFont="1" applyBorder="1" applyAlignment="1">
      <alignment vertical="center" wrapText="1"/>
    </xf>
    <xf numFmtId="49" fontId="2" fillId="0" borderId="4" xfId="0" applyNumberFormat="1" applyFont="1" applyBorder="1" applyAlignment="1">
      <alignment horizontal="center" vertical="center"/>
    </xf>
    <xf numFmtId="167" fontId="15" fillId="0" borderId="0" xfId="0" applyNumberFormat="1" applyFont="1" applyAlignment="1">
      <alignment vertical="center"/>
    </xf>
    <xf numFmtId="49" fontId="1" fillId="0" borderId="1" xfId="0" applyNumberFormat="1" applyFont="1" applyBorder="1" applyAlignment="1">
      <alignment horizontal="left" vertical="center" wrapText="1"/>
    </xf>
    <xf numFmtId="167" fontId="15" fillId="0" borderId="0" xfId="0" applyNumberFormat="1" applyFont="1"/>
    <xf numFmtId="49" fontId="2" fillId="0" borderId="1" xfId="0" applyNumberFormat="1" applyFont="1" applyBorder="1" applyAlignment="1">
      <alignment horizontal="right" vertical="center" wrapText="1"/>
    </xf>
    <xf numFmtId="0" fontId="1" fillId="0" borderId="0" xfId="0" applyFont="1" applyAlignment="1">
      <alignment horizontal="right" vertical="center" wrapText="1"/>
    </xf>
    <xf numFmtId="0" fontId="4" fillId="0" borderId="0" xfId="0" applyFont="1" applyAlignment="1">
      <alignment vertical="center"/>
    </xf>
    <xf numFmtId="49" fontId="4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vertical="center"/>
    </xf>
    <xf numFmtId="49" fontId="6" fillId="0" borderId="1" xfId="0" applyNumberFormat="1" applyFont="1" applyBorder="1" applyAlignment="1">
      <alignment horizontal="left" vertical="center" wrapText="1"/>
    </xf>
    <xf numFmtId="168" fontId="6" fillId="0" borderId="1" xfId="0" applyNumberFormat="1" applyFont="1" applyBorder="1" applyAlignment="1">
      <alignment horizontal="center" vertical="center" wrapText="1"/>
    </xf>
    <xf numFmtId="49" fontId="1" fillId="0" borderId="4" xfId="0" applyNumberFormat="1" applyFont="1" applyBorder="1" applyAlignment="1">
      <alignment horizontal="right" vertical="center"/>
    </xf>
    <xf numFmtId="17" fontId="9" fillId="0" borderId="1" xfId="0" applyNumberFormat="1" applyFont="1" applyBorder="1" applyAlignment="1">
      <alignment horizontal="right" vertical="center"/>
    </xf>
    <xf numFmtId="49" fontId="6" fillId="0" borderId="1" xfId="0" applyNumberFormat="1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/>
    </xf>
    <xf numFmtId="167" fontId="1" fillId="0" borderId="1" xfId="18" applyNumberFormat="1" applyBorder="1" applyAlignment="1">
      <alignment vertical="center" wrapText="1"/>
    </xf>
    <xf numFmtId="0" fontId="14" fillId="0" borderId="1" xfId="0" applyFont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right" vertical="center"/>
    </xf>
    <xf numFmtId="168" fontId="1" fillId="0" borderId="0" xfId="0" applyNumberFormat="1" applyFont="1" applyAlignment="1">
      <alignment horizontal="center" vertical="center"/>
    </xf>
    <xf numFmtId="167" fontId="6" fillId="0" borderId="1" xfId="0" applyNumberFormat="1" applyFont="1" applyBorder="1" applyAlignment="1">
      <alignment horizontal="right" vertical="center"/>
    </xf>
    <xf numFmtId="167" fontId="1" fillId="0" borderId="1" xfId="0" applyNumberFormat="1" applyFont="1" applyBorder="1" applyAlignment="1">
      <alignment horizontal="right" vertical="center"/>
    </xf>
    <xf numFmtId="167" fontId="1" fillId="0" borderId="1" xfId="0" applyNumberFormat="1" applyFont="1" applyBorder="1" applyAlignment="1">
      <alignment horizontal="right"/>
    </xf>
    <xf numFmtId="167" fontId="6" fillId="0" borderId="3" xfId="0" applyNumberFormat="1" applyFont="1" applyBorder="1" applyAlignment="1">
      <alignment vertical="center" wrapText="1"/>
    </xf>
    <xf numFmtId="167" fontId="6" fillId="0" borderId="1" xfId="0" applyNumberFormat="1" applyFont="1" applyBorder="1" applyAlignment="1">
      <alignment horizontal="right"/>
    </xf>
    <xf numFmtId="167" fontId="6" fillId="0" borderId="1" xfId="0" applyNumberFormat="1" applyFont="1" applyBorder="1" applyAlignment="1">
      <alignment horizontal="left" vertical="center" wrapText="1"/>
    </xf>
    <xf numFmtId="171" fontId="2" fillId="0" borderId="1" xfId="0" applyNumberFormat="1" applyFont="1" applyBorder="1" applyAlignment="1">
      <alignment horizontal="center" vertical="center"/>
    </xf>
    <xf numFmtId="0" fontId="1" fillId="0" borderId="0" xfId="1" applyFont="1" applyAlignment="1">
      <alignment vertical="center" wrapText="1"/>
    </xf>
    <xf numFmtId="49" fontId="6" fillId="0" borderId="0" xfId="0" applyNumberFormat="1" applyFont="1" applyAlignment="1">
      <alignment horizontal="left" vertical="center" wrapText="1"/>
    </xf>
    <xf numFmtId="167" fontId="6" fillId="0" borderId="0" xfId="0" applyNumberFormat="1" applyFont="1" applyAlignment="1">
      <alignment horizontal="left" vertical="center" wrapText="1"/>
    </xf>
    <xf numFmtId="167" fontId="6" fillId="0" borderId="0" xfId="0" applyNumberFormat="1" applyFont="1" applyAlignment="1">
      <alignment vertical="center" wrapText="1"/>
    </xf>
    <xf numFmtId="49" fontId="1" fillId="0" borderId="0" xfId="0" applyNumberFormat="1" applyFont="1" applyAlignment="1">
      <alignment vertical="center" wrapText="1"/>
    </xf>
    <xf numFmtId="169" fontId="1" fillId="0" borderId="0" xfId="0" applyNumberFormat="1" applyFont="1" applyAlignment="1">
      <alignment horizontal="right"/>
    </xf>
    <xf numFmtId="49" fontId="1" fillId="0" borderId="2" xfId="0" applyNumberFormat="1" applyFont="1" applyBorder="1" applyAlignment="1">
      <alignment horizontal="left" vertical="center" wrapText="1"/>
    </xf>
    <xf numFmtId="49" fontId="1" fillId="0" borderId="0" xfId="0" applyNumberFormat="1" applyFont="1" applyAlignment="1">
      <alignment horizontal="right" vertical="center" wrapText="1"/>
    </xf>
    <xf numFmtId="0" fontId="18" fillId="0" borderId="0" xfId="0" applyFont="1"/>
    <xf numFmtId="0" fontId="2" fillId="0" borderId="0" xfId="0" applyFont="1" applyAlignment="1">
      <alignment vertical="center"/>
    </xf>
    <xf numFmtId="0" fontId="18" fillId="0" borderId="0" xfId="0" applyFont="1" applyAlignment="1">
      <alignment horizontal="justify" vertical="center"/>
    </xf>
    <xf numFmtId="167" fontId="3" fillId="0" borderId="0" xfId="0" applyNumberFormat="1" applyFont="1" applyAlignment="1">
      <alignment vertical="center"/>
    </xf>
    <xf numFmtId="167" fontId="2" fillId="0" borderId="1" xfId="0" applyNumberFormat="1" applyFont="1" applyBorder="1" applyAlignment="1">
      <alignment horizontal="left" vertical="center" wrapText="1"/>
    </xf>
    <xf numFmtId="167" fontId="2" fillId="0" borderId="1" xfId="0" applyNumberFormat="1" applyFont="1" applyBorder="1" applyAlignment="1">
      <alignment horizontal="center" vertical="center" wrapText="1"/>
    </xf>
    <xf numFmtId="168" fontId="2" fillId="0" borderId="1" xfId="0" applyNumberFormat="1" applyFont="1" applyBorder="1" applyAlignment="1">
      <alignment horizontal="right" vertical="center" wrapText="1"/>
    </xf>
    <xf numFmtId="167" fontId="1" fillId="0" borderId="9" xfId="0" applyNumberFormat="1" applyFont="1" applyBorder="1" applyAlignment="1">
      <alignment horizontal="left" vertical="center" wrapText="1"/>
    </xf>
    <xf numFmtId="167" fontId="1" fillId="0" borderId="0" xfId="0" applyNumberFormat="1" applyFont="1" applyAlignment="1">
      <alignment horizontal="left" vertical="center" wrapText="1"/>
    </xf>
    <xf numFmtId="167" fontId="1" fillId="0" borderId="10" xfId="0" applyNumberFormat="1" applyFont="1" applyBorder="1" applyAlignment="1">
      <alignment horizontal="center" vertical="center" wrapText="1"/>
    </xf>
    <xf numFmtId="167" fontId="1" fillId="0" borderId="11" xfId="0" applyNumberFormat="1" applyFont="1" applyBorder="1" applyAlignment="1">
      <alignment horizontal="left" vertical="center" wrapText="1"/>
    </xf>
    <xf numFmtId="167" fontId="1" fillId="0" borderId="6" xfId="0" applyNumberFormat="1" applyFont="1" applyBorder="1" applyAlignment="1">
      <alignment horizontal="left" vertical="center" wrapText="1"/>
    </xf>
    <xf numFmtId="167" fontId="1" fillId="0" borderId="12" xfId="0" applyNumberFormat="1" applyFont="1" applyBorder="1" applyAlignment="1">
      <alignment horizontal="center" vertical="center" wrapText="1"/>
    </xf>
    <xf numFmtId="167" fontId="2" fillId="0" borderId="1" xfId="0" applyNumberFormat="1" applyFont="1" applyBorder="1" applyAlignment="1">
      <alignment horizontal="right" vertical="center" wrapText="1"/>
    </xf>
    <xf numFmtId="167" fontId="2" fillId="0" borderId="0" xfId="0" applyNumberFormat="1" applyFont="1" applyAlignment="1">
      <alignment horizontal="left" vertical="center" wrapText="1"/>
    </xf>
    <xf numFmtId="167" fontId="2" fillId="0" borderId="0" xfId="0" applyNumberFormat="1" applyFont="1" applyAlignment="1">
      <alignment horizontal="right" vertical="center" wrapText="1"/>
    </xf>
    <xf numFmtId="168" fontId="1" fillId="0" borderId="0" xfId="0" applyNumberFormat="1" applyFont="1" applyAlignment="1">
      <alignment horizontal="right" vertical="center" wrapText="1"/>
    </xf>
    <xf numFmtId="167" fontId="1" fillId="0" borderId="0" xfId="0" applyNumberFormat="1" applyFont="1" applyAlignment="1">
      <alignment horizontal="center" vertical="center" wrapText="1"/>
    </xf>
    <xf numFmtId="0" fontId="1" fillId="0" borderId="1" xfId="0" applyFont="1" applyBorder="1" applyAlignment="1">
      <alignment horizontal="left" vertical="justify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19" fillId="0" borderId="0" xfId="0" applyFont="1" applyAlignment="1">
      <alignment vertical="center"/>
    </xf>
    <xf numFmtId="0" fontId="1" fillId="0" borderId="0" xfId="0" applyFont="1" applyAlignment="1">
      <alignment wrapText="1"/>
    </xf>
    <xf numFmtId="0" fontId="3" fillId="0" borderId="0" xfId="1" applyFont="1" applyAlignment="1">
      <alignment horizontal="center"/>
    </xf>
    <xf numFmtId="0" fontId="3" fillId="0" borderId="0" xfId="0" applyFont="1" applyAlignment="1">
      <alignment horizontal="right"/>
    </xf>
    <xf numFmtId="0" fontId="3" fillId="0" borderId="0" xfId="1" applyFont="1" applyAlignment="1">
      <alignment horizontal="right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right"/>
    </xf>
    <xf numFmtId="0" fontId="17" fillId="0" borderId="4" xfId="0" applyFont="1" applyBorder="1" applyAlignment="1">
      <alignment horizontal="right" vertical="center"/>
    </xf>
    <xf numFmtId="0" fontId="17" fillId="0" borderId="7" xfId="0" applyFont="1" applyBorder="1" applyAlignment="1">
      <alignment horizontal="right" vertical="center"/>
    </xf>
    <xf numFmtId="49" fontId="17" fillId="0" borderId="4" xfId="0" applyNumberFormat="1" applyFont="1" applyBorder="1" applyAlignment="1">
      <alignment horizontal="center" vertical="center"/>
    </xf>
    <xf numFmtId="49" fontId="17" fillId="0" borderId="7" xfId="0" applyNumberFormat="1" applyFont="1" applyBorder="1" applyAlignment="1">
      <alignment horizontal="center" vertical="center"/>
    </xf>
    <xf numFmtId="0" fontId="17" fillId="0" borderId="4" xfId="0" applyFont="1" applyBorder="1" applyAlignment="1">
      <alignment vertical="center"/>
    </xf>
    <xf numFmtId="0" fontId="17" fillId="0" borderId="7" xfId="0" applyFont="1" applyBorder="1" applyAlignment="1">
      <alignment vertical="center"/>
    </xf>
    <xf numFmtId="0" fontId="17" fillId="0" borderId="0" xfId="0" applyFont="1" applyAlignment="1">
      <alignment horizontal="center" vertical="center"/>
    </xf>
    <xf numFmtId="49" fontId="22" fillId="0" borderId="4" xfId="0" applyNumberFormat="1" applyFont="1" applyBorder="1" applyAlignment="1">
      <alignment horizontal="right" vertical="center"/>
    </xf>
    <xf numFmtId="49" fontId="22" fillId="0" borderId="8" xfId="0" applyNumberFormat="1" applyFont="1" applyBorder="1" applyAlignment="1">
      <alignment horizontal="right" vertical="center"/>
    </xf>
    <xf numFmtId="49" fontId="22" fillId="0" borderId="7" xfId="0" applyNumberFormat="1" applyFont="1" applyBorder="1" applyAlignment="1">
      <alignment horizontal="right" vertical="center"/>
    </xf>
    <xf numFmtId="49" fontId="17" fillId="0" borderId="8" xfId="0" applyNumberFormat="1" applyFont="1" applyBorder="1" applyAlignment="1">
      <alignment horizontal="center" vertical="center"/>
    </xf>
    <xf numFmtId="0" fontId="17" fillId="0" borderId="0" xfId="0" applyFont="1" applyAlignment="1">
      <alignment horizontal="center"/>
    </xf>
    <xf numFmtId="0" fontId="17" fillId="0" borderId="8" xfId="0" applyFont="1" applyBorder="1" applyAlignment="1">
      <alignment horizontal="right" vertical="center"/>
    </xf>
    <xf numFmtId="0" fontId="17" fillId="0" borderId="1" xfId="0" applyFont="1" applyBorder="1" applyAlignment="1">
      <alignment horizontal="right" vertical="center"/>
    </xf>
    <xf numFmtId="49" fontId="17" fillId="0" borderId="1" xfId="0" applyNumberFormat="1" applyFont="1" applyBorder="1" applyAlignment="1">
      <alignment horizontal="center" vertical="center"/>
    </xf>
    <xf numFmtId="0" fontId="20" fillId="0" borderId="0" xfId="0" applyFont="1" applyAlignment="1">
      <alignment horizontal="left"/>
    </xf>
    <xf numFmtId="0" fontId="20" fillId="0" borderId="0" xfId="0" applyFont="1" applyAlignment="1">
      <alignment horizontal="center"/>
    </xf>
    <xf numFmtId="49" fontId="21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left"/>
    </xf>
    <xf numFmtId="49" fontId="2" fillId="0" borderId="0" xfId="0" applyNumberFormat="1" applyFont="1" applyAlignment="1">
      <alignment horizontal="center" vertical="center" wrapText="1"/>
    </xf>
    <xf numFmtId="0" fontId="1" fillId="0" borderId="4" xfId="0" applyFont="1" applyBorder="1" applyAlignment="1">
      <alignment horizontal="right" vertical="center"/>
    </xf>
    <xf numFmtId="0" fontId="1" fillId="0" borderId="7" xfId="0" applyFont="1" applyBorder="1" applyAlignment="1">
      <alignment horizontal="right" vertical="center"/>
    </xf>
    <xf numFmtId="49" fontId="1" fillId="0" borderId="4" xfId="0" applyNumberFormat="1" applyFont="1" applyBorder="1" applyAlignment="1">
      <alignment horizontal="center" vertical="center"/>
    </xf>
    <xf numFmtId="49" fontId="1" fillId="0" borderId="7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167" fontId="2" fillId="0" borderId="0" xfId="0" applyNumberFormat="1" applyFont="1" applyAlignment="1">
      <alignment horizontal="left" vertical="center" wrapText="1"/>
    </xf>
    <xf numFmtId="167" fontId="2" fillId="0" borderId="1" xfId="0" applyNumberFormat="1" applyFont="1" applyBorder="1" applyAlignment="1">
      <alignment horizontal="left" vertical="center" wrapText="1"/>
    </xf>
    <xf numFmtId="167" fontId="1" fillId="0" borderId="1" xfId="0" applyNumberFormat="1" applyFont="1" applyBorder="1" applyAlignment="1">
      <alignment horizontal="left" vertical="center" wrapText="1"/>
    </xf>
    <xf numFmtId="0" fontId="3" fillId="0" borderId="0" xfId="1" applyFont="1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 vertical="top" wrapText="1"/>
    </xf>
  </cellXfs>
  <cellStyles count="21">
    <cellStyle name="Įprastas" xfId="0" builtinId="0"/>
    <cellStyle name="Įprastas 2" xfId="1" xr:uid="{00000000-0005-0000-0000-000001000000}"/>
    <cellStyle name="Įprastas 3" xfId="2" xr:uid="{00000000-0005-0000-0000-000002000000}"/>
    <cellStyle name="Įprastas 4" xfId="3" xr:uid="{00000000-0005-0000-0000-000003000000}"/>
    <cellStyle name="Įprastas 5" xfId="4" xr:uid="{00000000-0005-0000-0000-000004000000}"/>
    <cellStyle name="Kablelis 2" xfId="5" xr:uid="{00000000-0005-0000-0000-000005000000}"/>
    <cellStyle name="Kablelis 2 2" xfId="6" xr:uid="{00000000-0005-0000-0000-000006000000}"/>
    <cellStyle name="Kablelis 2 2 2" xfId="7" xr:uid="{00000000-0005-0000-0000-000007000000}"/>
    <cellStyle name="Kablelis 3" xfId="8" xr:uid="{00000000-0005-0000-0000-000008000000}"/>
    <cellStyle name="Kablelis 4" xfId="9" xr:uid="{00000000-0005-0000-0000-000009000000}"/>
    <cellStyle name="Kablelis 4 2" xfId="10" xr:uid="{00000000-0005-0000-0000-00000A000000}"/>
    <cellStyle name="Kablelis 4 3" xfId="11" xr:uid="{00000000-0005-0000-0000-00000B000000}"/>
    <cellStyle name="Kablelis 4 3 2" xfId="12" xr:uid="{00000000-0005-0000-0000-00000C000000}"/>
    <cellStyle name="Kablelis 5" xfId="13" xr:uid="{00000000-0005-0000-0000-00000D000000}"/>
    <cellStyle name="Kablelis 5 2" xfId="14" xr:uid="{00000000-0005-0000-0000-00000E000000}"/>
    <cellStyle name="Normal 2" xfId="15" xr:uid="{00000000-0005-0000-0000-00000F000000}"/>
    <cellStyle name="Normal 3" xfId="16" xr:uid="{00000000-0005-0000-0000-000010000000}"/>
    <cellStyle name="Normal_biudžetas 6_2009 m 02 men biudzetas." xfId="17" xr:uid="{00000000-0005-0000-0000-000012000000}"/>
    <cellStyle name="Normal_Sheet1" xfId="18" xr:uid="{00000000-0005-0000-0000-000013000000}"/>
    <cellStyle name="Normal_Sheet1_2009 m 02 men biudzetas." xfId="19" xr:uid="{00000000-0005-0000-0000-000014000000}"/>
    <cellStyle name="Paprastas 2" xfId="20" xr:uid="{00000000-0005-0000-0000-00001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9"/>
  <sheetViews>
    <sheetView tabSelected="1" topLeftCell="B1" zoomScaleNormal="100" workbookViewId="0">
      <selection activeCell="H34" sqref="H34"/>
    </sheetView>
  </sheetViews>
  <sheetFormatPr defaultColWidth="9.140625" defaultRowHeight="12.75" x14ac:dyDescent="0.2"/>
  <cols>
    <col min="1" max="1" width="7.85546875" style="2" customWidth="1"/>
    <col min="2" max="2" width="70.5703125" style="1" customWidth="1"/>
    <col min="3" max="3" width="14.5703125" style="1" bestFit="1" customWidth="1"/>
    <col min="4" max="4" width="11.7109375" style="1" bestFit="1" customWidth="1"/>
    <col min="5" max="5" width="15.140625" style="1" customWidth="1"/>
    <col min="6" max="16384" width="9.140625" style="1"/>
  </cols>
  <sheetData>
    <row r="1" spans="1:9" ht="15.75" x14ac:dyDescent="0.25">
      <c r="A1" s="31"/>
      <c r="B1" s="261" t="s">
        <v>575</v>
      </c>
      <c r="C1" s="261"/>
    </row>
    <row r="2" spans="1:9" ht="15.75" x14ac:dyDescent="0.25">
      <c r="A2" s="31"/>
      <c r="B2" s="262" t="s">
        <v>792</v>
      </c>
      <c r="C2" s="262"/>
    </row>
    <row r="3" spans="1:9" ht="15.75" x14ac:dyDescent="0.25">
      <c r="A3" s="263" t="s">
        <v>163</v>
      </c>
      <c r="B3" s="263"/>
      <c r="C3" s="263"/>
    </row>
    <row r="4" spans="1:9" ht="15.75" x14ac:dyDescent="0.25">
      <c r="A4" s="35"/>
      <c r="B4" s="34"/>
      <c r="C4" s="34"/>
    </row>
    <row r="5" spans="1:9" x14ac:dyDescent="0.2">
      <c r="A5" s="31"/>
      <c r="B5" s="36" t="s">
        <v>501</v>
      </c>
      <c r="C5" s="37"/>
    </row>
    <row r="6" spans="1:9" x14ac:dyDescent="0.2">
      <c r="A6" s="31"/>
      <c r="B6" s="37"/>
      <c r="C6" s="37"/>
    </row>
    <row r="7" spans="1:9" x14ac:dyDescent="0.2">
      <c r="A7" s="31"/>
      <c r="B7" s="37"/>
      <c r="C7" s="38" t="s">
        <v>546</v>
      </c>
      <c r="D7" s="2"/>
      <c r="E7" s="2"/>
    </row>
    <row r="8" spans="1:9" x14ac:dyDescent="0.2">
      <c r="A8" s="39" t="s">
        <v>0</v>
      </c>
      <c r="B8" s="40" t="s">
        <v>164</v>
      </c>
      <c r="C8" s="40" t="s">
        <v>547</v>
      </c>
      <c r="D8" s="3"/>
    </row>
    <row r="9" spans="1:9" x14ac:dyDescent="0.2">
      <c r="A9" s="41">
        <v>1</v>
      </c>
      <c r="B9" s="39" t="s">
        <v>548</v>
      </c>
      <c r="C9" s="42">
        <f>+C10+C13+C17</f>
        <v>49011.7</v>
      </c>
      <c r="D9" s="32"/>
      <c r="F9" s="32"/>
    </row>
    <row r="10" spans="1:9" x14ac:dyDescent="0.2">
      <c r="A10" s="41">
        <v>2</v>
      </c>
      <c r="B10" s="39" t="s">
        <v>549</v>
      </c>
      <c r="C10" s="42">
        <f>+C11+C12</f>
        <v>45796</v>
      </c>
      <c r="D10" s="32"/>
      <c r="E10" s="4"/>
      <c r="F10" s="32"/>
    </row>
    <row r="11" spans="1:9" x14ac:dyDescent="0.2">
      <c r="A11" s="41">
        <v>3</v>
      </c>
      <c r="B11" s="43" t="s">
        <v>165</v>
      </c>
      <c r="C11" s="44">
        <v>45746</v>
      </c>
      <c r="E11" s="4"/>
      <c r="F11" s="32"/>
    </row>
    <row r="12" spans="1:9" ht="25.5" x14ac:dyDescent="0.2">
      <c r="A12" s="41">
        <v>4</v>
      </c>
      <c r="B12" s="45" t="s">
        <v>191</v>
      </c>
      <c r="C12" s="44">
        <v>50</v>
      </c>
      <c r="E12" s="47"/>
    </row>
    <row r="13" spans="1:9" x14ac:dyDescent="0.2">
      <c r="A13" s="41">
        <v>5</v>
      </c>
      <c r="B13" s="39" t="s">
        <v>550</v>
      </c>
      <c r="C13" s="48">
        <f>+C14+C16+C15</f>
        <v>2865.7</v>
      </c>
      <c r="E13" s="47"/>
    </row>
    <row r="14" spans="1:9" x14ac:dyDescent="0.2">
      <c r="A14" s="41">
        <v>6</v>
      </c>
      <c r="B14" s="43" t="s">
        <v>166</v>
      </c>
      <c r="C14" s="44">
        <v>900</v>
      </c>
      <c r="E14" s="4"/>
    </row>
    <row r="15" spans="1:9" x14ac:dyDescent="0.2">
      <c r="A15" s="41">
        <v>7</v>
      </c>
      <c r="B15" s="43" t="s">
        <v>167</v>
      </c>
      <c r="C15" s="44">
        <v>20</v>
      </c>
    </row>
    <row r="16" spans="1:9" s="2" customFormat="1" x14ac:dyDescent="0.2">
      <c r="A16" s="41">
        <v>8</v>
      </c>
      <c r="B16" s="43" t="s">
        <v>168</v>
      </c>
      <c r="C16" s="44">
        <f>1600+331.7+14</f>
        <v>1945.7</v>
      </c>
      <c r="D16" s="1"/>
      <c r="E16" s="5"/>
      <c r="F16" s="6"/>
      <c r="I16" s="6"/>
    </row>
    <row r="17" spans="1:14" ht="12.6" customHeight="1" x14ac:dyDescent="0.2">
      <c r="A17" s="41">
        <v>9</v>
      </c>
      <c r="B17" s="39" t="s">
        <v>551</v>
      </c>
      <c r="C17" s="42">
        <f>+C18</f>
        <v>350</v>
      </c>
      <c r="F17" s="32"/>
    </row>
    <row r="18" spans="1:14" ht="12.6" customHeight="1" x14ac:dyDescent="0.2">
      <c r="A18" s="41">
        <v>10</v>
      </c>
      <c r="B18" s="43" t="s">
        <v>169</v>
      </c>
      <c r="C18" s="44">
        <v>350</v>
      </c>
      <c r="F18" s="32"/>
    </row>
    <row r="19" spans="1:14" x14ac:dyDescent="0.2">
      <c r="A19" s="41">
        <v>11</v>
      </c>
      <c r="B19" s="39" t="s">
        <v>552</v>
      </c>
      <c r="C19" s="48">
        <f>C20+C25+C30+C33+C34</f>
        <v>5493</v>
      </c>
      <c r="D19" s="49"/>
      <c r="E19" s="46"/>
      <c r="F19" s="32"/>
    </row>
    <row r="20" spans="1:14" x14ac:dyDescent="0.2">
      <c r="A20" s="41">
        <v>12</v>
      </c>
      <c r="B20" s="39" t="s">
        <v>553</v>
      </c>
      <c r="C20" s="48">
        <f>C22+C23+C24+C21</f>
        <v>790</v>
      </c>
      <c r="D20" s="46"/>
      <c r="E20" s="46"/>
      <c r="F20" s="32"/>
    </row>
    <row r="21" spans="1:14" ht="12.6" customHeight="1" x14ac:dyDescent="0.2">
      <c r="A21" s="41">
        <v>13</v>
      </c>
      <c r="B21" s="50" t="s">
        <v>171</v>
      </c>
      <c r="C21" s="44">
        <v>30</v>
      </c>
      <c r="F21" s="32"/>
    </row>
    <row r="22" spans="1:14" ht="12.6" customHeight="1" x14ac:dyDescent="0.2">
      <c r="A22" s="41">
        <v>14</v>
      </c>
      <c r="B22" s="45" t="s">
        <v>172</v>
      </c>
      <c r="C22" s="44">
        <v>650</v>
      </c>
      <c r="D22" s="46"/>
      <c r="E22" s="51"/>
      <c r="F22" s="32"/>
    </row>
    <row r="23" spans="1:14" ht="12.6" customHeight="1" x14ac:dyDescent="0.2">
      <c r="A23" s="41">
        <v>15</v>
      </c>
      <c r="B23" s="43" t="s">
        <v>173</v>
      </c>
      <c r="C23" s="44">
        <v>50</v>
      </c>
      <c r="D23" s="46"/>
      <c r="N23" s="3"/>
    </row>
    <row r="24" spans="1:14" ht="12.6" customHeight="1" x14ac:dyDescent="0.2">
      <c r="A24" s="41">
        <v>16</v>
      </c>
      <c r="B24" s="52" t="s">
        <v>94</v>
      </c>
      <c r="C24" s="44">
        <v>60</v>
      </c>
      <c r="D24" s="46"/>
    </row>
    <row r="25" spans="1:14" ht="12.6" customHeight="1" x14ac:dyDescent="0.2">
      <c r="A25" s="41">
        <v>17</v>
      </c>
      <c r="B25" s="39" t="s">
        <v>554</v>
      </c>
      <c r="C25" s="48">
        <f>+C27+C26+C28+C29</f>
        <v>2815.9999999999995</v>
      </c>
      <c r="D25" s="49"/>
      <c r="E25" s="53"/>
    </row>
    <row r="26" spans="1:14" x14ac:dyDescent="0.2">
      <c r="A26" s="41">
        <v>18</v>
      </c>
      <c r="B26" s="43" t="s">
        <v>174</v>
      </c>
      <c r="C26" s="44">
        <f>305.7+6+70.1</f>
        <v>381.79999999999995</v>
      </c>
      <c r="D26" s="49"/>
      <c r="E26" s="53"/>
    </row>
    <row r="27" spans="1:14" x14ac:dyDescent="0.2">
      <c r="A27" s="41">
        <v>19</v>
      </c>
      <c r="B27" s="43" t="s">
        <v>175</v>
      </c>
      <c r="C27" s="44">
        <f>151.6+35+15.8</f>
        <v>202.4</v>
      </c>
      <c r="D27" s="49"/>
      <c r="E27" s="3"/>
    </row>
    <row r="28" spans="1:14" x14ac:dyDescent="0.2">
      <c r="A28" s="41">
        <v>20</v>
      </c>
      <c r="B28" s="43" t="s">
        <v>176</v>
      </c>
      <c r="C28" s="44">
        <f>2063.2+35+3.5+30.1</f>
        <v>2131.7999999999997</v>
      </c>
      <c r="D28" s="3"/>
      <c r="E28" s="54"/>
      <c r="G28" s="32"/>
    </row>
    <row r="29" spans="1:14" x14ac:dyDescent="0.2">
      <c r="A29" s="41">
        <v>21</v>
      </c>
      <c r="B29" s="43" t="s">
        <v>491</v>
      </c>
      <c r="C29" s="44">
        <v>100</v>
      </c>
      <c r="E29" s="3"/>
      <c r="G29" s="32"/>
    </row>
    <row r="30" spans="1:14" ht="12.6" customHeight="1" x14ac:dyDescent="0.2">
      <c r="A30" s="41">
        <v>22</v>
      </c>
      <c r="B30" s="39" t="s">
        <v>555</v>
      </c>
      <c r="C30" s="42">
        <f>+C31+C32</f>
        <v>1829</v>
      </c>
      <c r="D30" s="51"/>
    </row>
    <row r="31" spans="1:14" ht="12.6" customHeight="1" x14ac:dyDescent="0.2">
      <c r="A31" s="41">
        <v>23</v>
      </c>
      <c r="B31" s="43" t="s">
        <v>177</v>
      </c>
      <c r="C31" s="44">
        <v>45</v>
      </c>
    </row>
    <row r="32" spans="1:14" ht="12.6" customHeight="1" x14ac:dyDescent="0.2">
      <c r="A32" s="41">
        <v>24</v>
      </c>
      <c r="B32" s="43" t="s">
        <v>178</v>
      </c>
      <c r="C32" s="44">
        <v>1784</v>
      </c>
      <c r="F32" s="3"/>
    </row>
    <row r="33" spans="1:6" ht="12.6" customHeight="1" x14ac:dyDescent="0.2">
      <c r="A33" s="41">
        <v>25</v>
      </c>
      <c r="B33" s="39" t="s">
        <v>179</v>
      </c>
      <c r="C33" s="48">
        <v>50</v>
      </c>
      <c r="F33" s="3"/>
    </row>
    <row r="34" spans="1:6" ht="12.6" customHeight="1" x14ac:dyDescent="0.2">
      <c r="A34" s="41">
        <v>26</v>
      </c>
      <c r="B34" s="39" t="s">
        <v>556</v>
      </c>
      <c r="C34" s="48">
        <f>8</f>
        <v>8</v>
      </c>
      <c r="F34" s="3"/>
    </row>
    <row r="35" spans="1:6" ht="12.6" customHeight="1" x14ac:dyDescent="0.2">
      <c r="A35" s="41">
        <v>27</v>
      </c>
      <c r="B35" s="55" t="s">
        <v>557</v>
      </c>
      <c r="C35" s="48">
        <v>121</v>
      </c>
    </row>
    <row r="36" spans="1:6" ht="12.6" customHeight="1" x14ac:dyDescent="0.2">
      <c r="A36" s="41">
        <v>28</v>
      </c>
      <c r="B36" s="56" t="s">
        <v>558</v>
      </c>
      <c r="C36" s="48">
        <f>+C9+C19+C35</f>
        <v>54625.7</v>
      </c>
      <c r="F36" s="3"/>
    </row>
    <row r="37" spans="1:6" x14ac:dyDescent="0.2">
      <c r="A37" s="41">
        <v>29</v>
      </c>
      <c r="B37" s="39" t="s">
        <v>559</v>
      </c>
      <c r="C37" s="48">
        <f>+C38+C43+C44</f>
        <v>40199.100000000006</v>
      </c>
    </row>
    <row r="38" spans="1:6" x14ac:dyDescent="0.2">
      <c r="A38" s="41">
        <v>30</v>
      </c>
      <c r="B38" s="57" t="s">
        <v>560</v>
      </c>
      <c r="C38" s="48">
        <f>+C39+C40+C41</f>
        <v>30236.300000000003</v>
      </c>
    </row>
    <row r="39" spans="1:6" ht="12.6" customHeight="1" x14ac:dyDescent="0.2">
      <c r="A39" s="41">
        <v>31</v>
      </c>
      <c r="B39" s="43" t="s">
        <v>561</v>
      </c>
      <c r="C39" s="44">
        <f>7006.6-35+0.9-9+25+3.7+130</f>
        <v>7122.2</v>
      </c>
    </row>
    <row r="40" spans="1:6" ht="12.6" customHeight="1" x14ac:dyDescent="0.2">
      <c r="A40" s="41">
        <v>32</v>
      </c>
      <c r="B40" s="43" t="s">
        <v>192</v>
      </c>
      <c r="C40" s="44">
        <f>21175.9+1256</f>
        <v>22431.9</v>
      </c>
    </row>
    <row r="41" spans="1:6" ht="12.6" customHeight="1" x14ac:dyDescent="0.2">
      <c r="A41" s="41">
        <v>33</v>
      </c>
      <c r="B41" s="43" t="s">
        <v>170</v>
      </c>
      <c r="C41" s="58">
        <f>+C42</f>
        <v>682.2</v>
      </c>
    </row>
    <row r="42" spans="1:6" ht="12.6" customHeight="1" x14ac:dyDescent="0.2">
      <c r="A42" s="59" t="s">
        <v>364</v>
      </c>
      <c r="B42" s="45" t="s">
        <v>562</v>
      </c>
      <c r="C42" s="44">
        <v>682.2</v>
      </c>
    </row>
    <row r="43" spans="1:6" ht="12.6" customHeight="1" x14ac:dyDescent="0.2">
      <c r="A43" s="59" t="s">
        <v>563</v>
      </c>
      <c r="B43" s="57" t="s">
        <v>564</v>
      </c>
      <c r="C43" s="48">
        <f>4518.7+32.5+86-50+1.8+0.6+49.5+0.4+2.1+0.2+237.4+0.5+7.8+461.3+26-5.7+1+42.1+8.8+45+600.3+0.1+1.1</f>
        <v>6067.5000000000018</v>
      </c>
    </row>
    <row r="44" spans="1:6" x14ac:dyDescent="0.2">
      <c r="A44" s="59" t="s">
        <v>565</v>
      </c>
      <c r="B44" s="55" t="s">
        <v>566</v>
      </c>
      <c r="C44" s="42">
        <f>2212.2+716.8+828.8+137.5</f>
        <v>3895.3</v>
      </c>
    </row>
    <row r="45" spans="1:6" x14ac:dyDescent="0.2">
      <c r="A45" s="59" t="s">
        <v>567</v>
      </c>
      <c r="B45" s="56" t="s">
        <v>568</v>
      </c>
      <c r="C45" s="48">
        <f>+C36+C37</f>
        <v>94824.8</v>
      </c>
    </row>
    <row r="46" spans="1:6" ht="12.6" customHeight="1" x14ac:dyDescent="0.2">
      <c r="A46" s="59" t="s">
        <v>569</v>
      </c>
      <c r="B46" s="60" t="s">
        <v>570</v>
      </c>
      <c r="C46" s="58">
        <f>1575+563.7</f>
        <v>2138.6999999999998</v>
      </c>
    </row>
    <row r="47" spans="1:6" ht="12.6" customHeight="1" x14ac:dyDescent="0.2">
      <c r="A47" s="59" t="s">
        <v>571</v>
      </c>
      <c r="B47" s="60" t="s">
        <v>572</v>
      </c>
      <c r="C47" s="44">
        <f>8822.8+8</f>
        <v>8830.7999999999993</v>
      </c>
      <c r="D47" s="46"/>
      <c r="E47" s="51"/>
      <c r="F47" s="32"/>
    </row>
    <row r="48" spans="1:6" ht="12.6" customHeight="1" x14ac:dyDescent="0.2">
      <c r="D48" s="46"/>
      <c r="E48" s="51"/>
    </row>
    <row r="49" spans="1:6" ht="12.6" customHeight="1" x14ac:dyDescent="0.2">
      <c r="A49" s="31"/>
      <c r="B49" s="38" t="s">
        <v>180</v>
      </c>
      <c r="C49" s="61"/>
      <c r="E49" s="51"/>
      <c r="F49" s="32"/>
    </row>
    <row r="50" spans="1:6" x14ac:dyDescent="0.2">
      <c r="F50" s="32"/>
    </row>
    <row r="52" spans="1:6" ht="12" customHeight="1" x14ac:dyDescent="0.2"/>
    <row r="53" spans="1:6" ht="12" customHeight="1" x14ac:dyDescent="0.2">
      <c r="D53" s="53"/>
    </row>
    <row r="54" spans="1:6" ht="12" customHeight="1" x14ac:dyDescent="0.2"/>
    <row r="55" spans="1:6" ht="12" customHeight="1" x14ac:dyDescent="0.2"/>
    <row r="56" spans="1:6" ht="12" customHeight="1" x14ac:dyDescent="0.2"/>
    <row r="57" spans="1:6" ht="12" customHeight="1" x14ac:dyDescent="0.2"/>
    <row r="58" spans="1:6" ht="12" customHeight="1" x14ac:dyDescent="0.2"/>
    <row r="59" spans="1:6" ht="12" customHeight="1" x14ac:dyDescent="0.2"/>
  </sheetData>
  <mergeCells count="3">
    <mergeCell ref="B1:C1"/>
    <mergeCell ref="B2:C2"/>
    <mergeCell ref="A3:C3"/>
  </mergeCells>
  <phoneticPr fontId="10" type="noConversion"/>
  <pageMargins left="0.78740157480314965" right="0" top="0.78740157480314965" bottom="0.15748031496062992" header="0.31496062992125984" footer="0.31496062992125984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187"/>
  <sheetViews>
    <sheetView zoomScaleNormal="100" workbookViewId="0">
      <selection activeCell="D3" sqref="D3"/>
    </sheetView>
  </sheetViews>
  <sheetFormatPr defaultColWidth="9.140625" defaultRowHeight="12.75" x14ac:dyDescent="0.2"/>
  <cols>
    <col min="1" max="1" width="5.85546875" style="2" customWidth="1"/>
    <col min="2" max="2" width="7.42578125" style="13" customWidth="1"/>
    <col min="3" max="3" width="70" style="22" customWidth="1"/>
    <col min="4" max="4" width="9.7109375" style="11" customWidth="1"/>
    <col min="5" max="5" width="9.140625" style="3" customWidth="1"/>
    <col min="6" max="16384" width="9.140625" style="1"/>
  </cols>
  <sheetData>
    <row r="1" spans="1:9" ht="15.75" x14ac:dyDescent="0.25">
      <c r="C1" s="264" t="s">
        <v>190</v>
      </c>
      <c r="D1" s="264"/>
    </row>
    <row r="2" spans="1:9" ht="15" customHeight="1" x14ac:dyDescent="0.25">
      <c r="C2" s="264" t="s">
        <v>794</v>
      </c>
      <c r="D2" s="264"/>
    </row>
    <row r="3" spans="1:9" ht="15.75" x14ac:dyDescent="0.25">
      <c r="C3" s="33"/>
      <c r="D3" s="14" t="s">
        <v>189</v>
      </c>
    </row>
    <row r="4" spans="1:9" ht="15.75" x14ac:dyDescent="0.2">
      <c r="D4" s="14"/>
    </row>
    <row r="5" spans="1:9" ht="35.25" customHeight="1" x14ac:dyDescent="0.2">
      <c r="A5" s="266" t="s">
        <v>355</v>
      </c>
      <c r="B5" s="266"/>
      <c r="C5" s="266"/>
      <c r="D5" s="266"/>
      <c r="I5" s="10"/>
    </row>
    <row r="6" spans="1:9" x14ac:dyDescent="0.2">
      <c r="A6" s="7"/>
      <c r="B6" s="7"/>
      <c r="C6" s="7"/>
      <c r="D6" s="7"/>
    </row>
    <row r="7" spans="1:9" x14ac:dyDescent="0.2">
      <c r="A7" s="209"/>
      <c r="B7" s="210"/>
      <c r="C7" s="211"/>
      <c r="D7" s="81" t="s">
        <v>71</v>
      </c>
    </row>
    <row r="8" spans="1:9" ht="43.5" customHeight="1" x14ac:dyDescent="0.2">
      <c r="A8" s="63" t="s">
        <v>68</v>
      </c>
      <c r="B8" s="82" t="s">
        <v>186</v>
      </c>
      <c r="C8" s="63" t="s">
        <v>16</v>
      </c>
      <c r="D8" s="63" t="s">
        <v>17</v>
      </c>
      <c r="E8" s="8"/>
    </row>
    <row r="9" spans="1:9" s="10" customFormat="1" ht="12.75" customHeight="1" x14ac:dyDescent="0.2">
      <c r="A9" s="83">
        <v>1</v>
      </c>
      <c r="B9" s="84" t="s">
        <v>18</v>
      </c>
      <c r="C9" s="63">
        <v>3</v>
      </c>
      <c r="D9" s="63">
        <v>4</v>
      </c>
      <c r="E9" s="8"/>
    </row>
    <row r="10" spans="1:9" s="10" customFormat="1" x14ac:dyDescent="0.2">
      <c r="A10" s="85">
        <v>1</v>
      </c>
      <c r="B10" s="84" t="s">
        <v>47</v>
      </c>
      <c r="C10" s="86" t="s">
        <v>48</v>
      </c>
      <c r="D10" s="87">
        <f>+D11+D14+D20+D27+D29+D41+D43+D50+D52</f>
        <v>683.59999999999991</v>
      </c>
      <c r="E10" s="8"/>
    </row>
    <row r="11" spans="1:9" s="10" customFormat="1" x14ac:dyDescent="0.2">
      <c r="A11" s="85">
        <v>2</v>
      </c>
      <c r="B11" s="199" t="s">
        <v>158</v>
      </c>
      <c r="C11" s="212" t="s">
        <v>204</v>
      </c>
      <c r="D11" s="201">
        <f>+D12+D13</f>
        <v>296.3</v>
      </c>
      <c r="E11" s="8"/>
    </row>
    <row r="12" spans="1:9" s="10" customFormat="1" ht="12.95" customHeight="1" x14ac:dyDescent="0.2">
      <c r="A12" s="85">
        <v>3</v>
      </c>
      <c r="B12" s="88"/>
      <c r="C12" s="205" t="s">
        <v>107</v>
      </c>
      <c r="D12" s="89">
        <v>287.5</v>
      </c>
      <c r="E12" s="8"/>
    </row>
    <row r="13" spans="1:9" s="10" customFormat="1" ht="12.95" customHeight="1" x14ac:dyDescent="0.2">
      <c r="A13" s="85">
        <v>4</v>
      </c>
      <c r="B13" s="88"/>
      <c r="C13" s="183" t="s">
        <v>3</v>
      </c>
      <c r="D13" s="89">
        <v>8.8000000000000007</v>
      </c>
      <c r="E13" s="8"/>
    </row>
    <row r="14" spans="1:9" s="10" customFormat="1" ht="25.5" x14ac:dyDescent="0.2">
      <c r="A14" s="85">
        <v>5</v>
      </c>
      <c r="B14" s="88" t="s">
        <v>159</v>
      </c>
      <c r="C14" s="99" t="s">
        <v>211</v>
      </c>
      <c r="D14" s="223">
        <f>SUM(D15:D19)</f>
        <v>52.599999999999994</v>
      </c>
      <c r="E14" s="8"/>
    </row>
    <row r="15" spans="1:9" s="10" customFormat="1" ht="12.95" customHeight="1" x14ac:dyDescent="0.2">
      <c r="A15" s="85">
        <v>6</v>
      </c>
      <c r="B15" s="88"/>
      <c r="C15" s="70" t="s">
        <v>88</v>
      </c>
      <c r="D15" s="224">
        <v>2.1</v>
      </c>
      <c r="E15" s="8"/>
    </row>
    <row r="16" spans="1:9" s="10" customFormat="1" ht="12.95" customHeight="1" x14ac:dyDescent="0.2">
      <c r="A16" s="85">
        <v>7</v>
      </c>
      <c r="B16" s="88"/>
      <c r="C16" s="76" t="s">
        <v>79</v>
      </c>
      <c r="D16" s="225">
        <f>3.8+4.2</f>
        <v>8</v>
      </c>
      <c r="E16" s="8"/>
    </row>
    <row r="17" spans="1:5" s="10" customFormat="1" ht="12.95" customHeight="1" x14ac:dyDescent="0.2">
      <c r="A17" s="85">
        <v>8</v>
      </c>
      <c r="B17" s="88"/>
      <c r="C17" s="76" t="s">
        <v>82</v>
      </c>
      <c r="D17" s="225">
        <f>7.6+8.6</f>
        <v>16.2</v>
      </c>
      <c r="E17" s="8"/>
    </row>
    <row r="18" spans="1:5" ht="12.95" customHeight="1" x14ac:dyDescent="0.2">
      <c r="A18" s="85">
        <v>9</v>
      </c>
      <c r="B18" s="88"/>
      <c r="C18" s="76" t="s">
        <v>83</v>
      </c>
      <c r="D18" s="225">
        <f>11.4+6.2</f>
        <v>17.600000000000001</v>
      </c>
      <c r="E18" s="8"/>
    </row>
    <row r="19" spans="1:5" x14ac:dyDescent="0.2">
      <c r="A19" s="85">
        <v>10</v>
      </c>
      <c r="B19" s="88"/>
      <c r="C19" s="70" t="s">
        <v>95</v>
      </c>
      <c r="D19" s="225">
        <f>3.8+4.9</f>
        <v>8.6999999999999993</v>
      </c>
      <c r="E19" s="8"/>
    </row>
    <row r="20" spans="1:5" ht="12.95" customHeight="1" x14ac:dyDescent="0.2">
      <c r="A20" s="85">
        <v>11</v>
      </c>
      <c r="B20" s="88" t="s">
        <v>493</v>
      </c>
      <c r="C20" s="99" t="s">
        <v>512</v>
      </c>
      <c r="D20" s="223">
        <f>SUM(D21:D26)</f>
        <v>133.4</v>
      </c>
      <c r="E20" s="8"/>
    </row>
    <row r="21" spans="1:5" ht="12.95" customHeight="1" x14ac:dyDescent="0.2">
      <c r="A21" s="85">
        <v>12</v>
      </c>
      <c r="B21" s="88"/>
      <c r="C21" s="67" t="s">
        <v>87</v>
      </c>
      <c r="D21" s="225">
        <v>16.7</v>
      </c>
      <c r="E21" s="8"/>
    </row>
    <row r="22" spans="1:5" ht="12.95" customHeight="1" x14ac:dyDescent="0.2">
      <c r="A22" s="85">
        <v>13</v>
      </c>
      <c r="B22" s="88"/>
      <c r="C22" s="67" t="s">
        <v>38</v>
      </c>
      <c r="D22" s="225">
        <v>18.7</v>
      </c>
      <c r="E22" s="8"/>
    </row>
    <row r="23" spans="1:5" ht="12.95" customHeight="1" x14ac:dyDescent="0.2">
      <c r="A23" s="85">
        <v>14</v>
      </c>
      <c r="B23" s="88"/>
      <c r="C23" s="71" t="s">
        <v>85</v>
      </c>
      <c r="D23" s="225">
        <v>18.100000000000001</v>
      </c>
      <c r="E23" s="8"/>
    </row>
    <row r="24" spans="1:5" ht="12.95" customHeight="1" x14ac:dyDescent="0.2">
      <c r="A24" s="85">
        <v>15</v>
      </c>
      <c r="B24" s="88"/>
      <c r="C24" s="67" t="s">
        <v>86</v>
      </c>
      <c r="D24" s="225">
        <v>19.100000000000001</v>
      </c>
      <c r="E24" s="8"/>
    </row>
    <row r="25" spans="1:5" ht="12.95" customHeight="1" x14ac:dyDescent="0.2">
      <c r="A25" s="85">
        <v>16</v>
      </c>
      <c r="B25" s="88"/>
      <c r="C25" s="71" t="s">
        <v>539</v>
      </c>
      <c r="D25" s="225">
        <v>13.2</v>
      </c>
      <c r="E25" s="8"/>
    </row>
    <row r="26" spans="1:5" x14ac:dyDescent="0.2">
      <c r="A26" s="85">
        <v>17</v>
      </c>
      <c r="B26" s="88"/>
      <c r="C26" s="73" t="s">
        <v>107</v>
      </c>
      <c r="D26" s="225">
        <v>47.6</v>
      </c>
      <c r="E26" s="8"/>
    </row>
    <row r="27" spans="1:5" ht="12.95" customHeight="1" x14ac:dyDescent="0.2">
      <c r="A27" s="85">
        <v>18</v>
      </c>
      <c r="B27" s="88" t="s">
        <v>508</v>
      </c>
      <c r="C27" s="226" t="s">
        <v>509</v>
      </c>
      <c r="D27" s="223">
        <f>+D28</f>
        <v>48.4</v>
      </c>
      <c r="E27" s="8"/>
    </row>
    <row r="28" spans="1:5" x14ac:dyDescent="0.2">
      <c r="A28" s="85">
        <v>19</v>
      </c>
      <c r="B28" s="88"/>
      <c r="C28" s="73" t="s">
        <v>76</v>
      </c>
      <c r="D28" s="225">
        <v>48.4</v>
      </c>
      <c r="E28" s="8"/>
    </row>
    <row r="29" spans="1:5" ht="25.5" x14ac:dyDescent="0.2">
      <c r="A29" s="85">
        <v>20</v>
      </c>
      <c r="B29" s="88" t="s">
        <v>510</v>
      </c>
      <c r="C29" s="99" t="s">
        <v>513</v>
      </c>
      <c r="D29" s="223">
        <f>SUM(D30:D40)</f>
        <v>26.599999999999998</v>
      </c>
      <c r="E29" s="8"/>
    </row>
    <row r="30" spans="1:5" ht="12.95" customHeight="1" x14ac:dyDescent="0.2">
      <c r="A30" s="85">
        <v>21</v>
      </c>
      <c r="B30" s="88"/>
      <c r="C30" s="67" t="s">
        <v>88</v>
      </c>
      <c r="D30" s="225">
        <f>4.3</f>
        <v>4.3</v>
      </c>
      <c r="E30" s="8"/>
    </row>
    <row r="31" spans="1:5" ht="12.95" customHeight="1" x14ac:dyDescent="0.2">
      <c r="A31" s="85">
        <v>22</v>
      </c>
      <c r="B31" s="88"/>
      <c r="C31" s="67" t="s">
        <v>79</v>
      </c>
      <c r="D31" s="225">
        <f>2.2</f>
        <v>2.2000000000000002</v>
      </c>
      <c r="E31" s="8"/>
    </row>
    <row r="32" spans="1:5" ht="12.95" customHeight="1" x14ac:dyDescent="0.2">
      <c r="A32" s="85">
        <v>23</v>
      </c>
      <c r="B32" s="88"/>
      <c r="C32" s="67" t="s">
        <v>80</v>
      </c>
      <c r="D32" s="225">
        <v>3.6</v>
      </c>
      <c r="E32" s="8"/>
    </row>
    <row r="33" spans="1:5" ht="12.95" customHeight="1" x14ac:dyDescent="0.2">
      <c r="A33" s="85">
        <v>24</v>
      </c>
      <c r="B33" s="88"/>
      <c r="C33" s="67" t="s">
        <v>81</v>
      </c>
      <c r="D33" s="225">
        <v>1.4</v>
      </c>
      <c r="E33" s="8"/>
    </row>
    <row r="34" spans="1:5" ht="12.95" customHeight="1" x14ac:dyDescent="0.2">
      <c r="A34" s="85">
        <v>25</v>
      </c>
      <c r="B34" s="88"/>
      <c r="C34" s="67" t="s">
        <v>82</v>
      </c>
      <c r="D34" s="225">
        <f>5.8</f>
        <v>5.8</v>
      </c>
      <c r="E34" s="8"/>
    </row>
    <row r="35" spans="1:5" ht="12.95" customHeight="1" x14ac:dyDescent="0.2">
      <c r="A35" s="85">
        <v>26</v>
      </c>
      <c r="B35" s="88"/>
      <c r="C35" s="67" t="s">
        <v>83</v>
      </c>
      <c r="D35" s="225">
        <f>3.6</f>
        <v>3.6</v>
      </c>
      <c r="E35" s="8"/>
    </row>
    <row r="36" spans="1:5" ht="12.95" customHeight="1" x14ac:dyDescent="0.2">
      <c r="A36" s="85">
        <v>27</v>
      </c>
      <c r="B36" s="88"/>
      <c r="C36" s="71" t="s">
        <v>73</v>
      </c>
      <c r="D36" s="225">
        <v>0.7</v>
      </c>
      <c r="E36" s="8"/>
    </row>
    <row r="37" spans="1:5" ht="12.95" customHeight="1" x14ac:dyDescent="0.2">
      <c r="A37" s="85">
        <v>28</v>
      </c>
      <c r="B37" s="88"/>
      <c r="C37" s="71" t="s">
        <v>32</v>
      </c>
      <c r="D37" s="225">
        <v>1.5</v>
      </c>
      <c r="E37" s="8"/>
    </row>
    <row r="38" spans="1:5" ht="12.95" customHeight="1" x14ac:dyDescent="0.2">
      <c r="A38" s="85">
        <v>29</v>
      </c>
      <c r="B38" s="88"/>
      <c r="C38" s="71" t="s">
        <v>539</v>
      </c>
      <c r="D38" s="225">
        <v>0.7</v>
      </c>
      <c r="E38" s="8"/>
    </row>
    <row r="39" spans="1:5" ht="12.95" customHeight="1" x14ac:dyDescent="0.2">
      <c r="A39" s="85">
        <v>30</v>
      </c>
      <c r="B39" s="88"/>
      <c r="C39" s="71" t="s">
        <v>75</v>
      </c>
      <c r="D39" s="225">
        <v>1.4</v>
      </c>
      <c r="E39" s="8"/>
    </row>
    <row r="40" spans="1:5" ht="15" customHeight="1" x14ac:dyDescent="0.2">
      <c r="A40" s="85">
        <v>31</v>
      </c>
      <c r="B40" s="88"/>
      <c r="C40" s="218" t="s">
        <v>15</v>
      </c>
      <c r="D40" s="225">
        <v>1.4</v>
      </c>
      <c r="E40" s="8"/>
    </row>
    <row r="41" spans="1:5" ht="12.95" customHeight="1" x14ac:dyDescent="0.2">
      <c r="A41" s="85">
        <v>32</v>
      </c>
      <c r="B41" s="88" t="s">
        <v>524</v>
      </c>
      <c r="C41" s="226" t="s">
        <v>525</v>
      </c>
      <c r="D41" s="227">
        <f>+D42</f>
        <v>0.5</v>
      </c>
      <c r="E41" s="8"/>
    </row>
    <row r="42" spans="1:5" x14ac:dyDescent="0.2">
      <c r="A42" s="85">
        <v>33</v>
      </c>
      <c r="B42" s="88"/>
      <c r="C42" s="73" t="s">
        <v>76</v>
      </c>
      <c r="D42" s="225">
        <v>0.5</v>
      </c>
      <c r="E42" s="8"/>
    </row>
    <row r="43" spans="1:5" ht="38.25" x14ac:dyDescent="0.2">
      <c r="A43" s="85">
        <v>34</v>
      </c>
      <c r="B43" s="88" t="s">
        <v>534</v>
      </c>
      <c r="C43" s="226" t="s">
        <v>530</v>
      </c>
      <c r="D43" s="201">
        <f>SUM(D44:D49)</f>
        <v>12.8</v>
      </c>
      <c r="E43" s="8"/>
    </row>
    <row r="44" spans="1:5" ht="12.95" customHeight="1" x14ac:dyDescent="0.2">
      <c r="A44" s="85">
        <v>35</v>
      </c>
      <c r="B44" s="88"/>
      <c r="C44" s="67" t="s">
        <v>80</v>
      </c>
      <c r="D44" s="225">
        <v>1</v>
      </c>
      <c r="E44" s="8"/>
    </row>
    <row r="45" spans="1:5" ht="12.95" customHeight="1" x14ac:dyDescent="0.2">
      <c r="A45" s="85">
        <v>36</v>
      </c>
      <c r="B45" s="88"/>
      <c r="C45" s="67" t="s">
        <v>83</v>
      </c>
      <c r="D45" s="225">
        <v>1.6</v>
      </c>
      <c r="E45" s="8"/>
    </row>
    <row r="46" spans="1:5" ht="12.95" customHeight="1" x14ac:dyDescent="0.2">
      <c r="A46" s="85">
        <v>37</v>
      </c>
      <c r="B46" s="88"/>
      <c r="C46" s="67" t="s">
        <v>87</v>
      </c>
      <c r="D46" s="225">
        <v>5.2</v>
      </c>
      <c r="E46" s="8"/>
    </row>
    <row r="47" spans="1:5" ht="12.95" customHeight="1" x14ac:dyDescent="0.2">
      <c r="A47" s="85">
        <v>38</v>
      </c>
      <c r="B47" s="88"/>
      <c r="C47" s="71" t="s">
        <v>85</v>
      </c>
      <c r="D47" s="225">
        <v>3.3</v>
      </c>
      <c r="E47" s="8"/>
    </row>
    <row r="48" spans="1:5" ht="12.95" customHeight="1" x14ac:dyDescent="0.2">
      <c r="A48" s="85">
        <v>39</v>
      </c>
      <c r="B48" s="88"/>
      <c r="C48" s="71" t="s">
        <v>75</v>
      </c>
      <c r="D48" s="225">
        <v>1.1000000000000001</v>
      </c>
      <c r="E48" s="8"/>
    </row>
    <row r="49" spans="1:5" ht="15" customHeight="1" x14ac:dyDescent="0.2">
      <c r="A49" s="85">
        <v>40</v>
      </c>
      <c r="B49" s="88"/>
      <c r="C49" s="71" t="s">
        <v>64</v>
      </c>
      <c r="D49" s="225">
        <v>0.6</v>
      </c>
      <c r="E49" s="8"/>
    </row>
    <row r="50" spans="1:5" ht="12.95" customHeight="1" x14ac:dyDescent="0.2">
      <c r="A50" s="85">
        <v>41</v>
      </c>
      <c r="B50" s="88" t="s">
        <v>535</v>
      </c>
      <c r="C50" s="226" t="s">
        <v>531</v>
      </c>
      <c r="D50" s="227">
        <f>+D51</f>
        <v>68</v>
      </c>
      <c r="E50" s="8"/>
    </row>
    <row r="51" spans="1:5" x14ac:dyDescent="0.2">
      <c r="A51" s="85">
        <v>42</v>
      </c>
      <c r="B51" s="88"/>
      <c r="C51" s="70" t="s">
        <v>3</v>
      </c>
      <c r="D51" s="225">
        <v>68</v>
      </c>
      <c r="E51" s="8"/>
    </row>
    <row r="52" spans="1:5" ht="38.25" x14ac:dyDescent="0.2">
      <c r="A52" s="85">
        <v>43</v>
      </c>
      <c r="B52" s="88" t="s">
        <v>647</v>
      </c>
      <c r="C52" s="99" t="s">
        <v>648</v>
      </c>
      <c r="D52" s="223">
        <f>SUM(D53:D75)</f>
        <v>45.000000000000007</v>
      </c>
      <c r="E52" s="8"/>
    </row>
    <row r="53" spans="1:5" x14ac:dyDescent="0.2">
      <c r="A53" s="85">
        <v>44</v>
      </c>
      <c r="B53" s="88"/>
      <c r="C53" s="67" t="s">
        <v>88</v>
      </c>
      <c r="D53" s="225">
        <v>1.7</v>
      </c>
      <c r="E53" s="8"/>
    </row>
    <row r="54" spans="1:5" x14ac:dyDescent="0.2">
      <c r="A54" s="85">
        <v>45</v>
      </c>
      <c r="B54" s="88"/>
      <c r="C54" s="67" t="s">
        <v>79</v>
      </c>
      <c r="D54" s="225">
        <v>1.7</v>
      </c>
      <c r="E54" s="8"/>
    </row>
    <row r="55" spans="1:5" x14ac:dyDescent="0.2">
      <c r="A55" s="85">
        <v>46</v>
      </c>
      <c r="B55" s="88"/>
      <c r="C55" s="67" t="s">
        <v>80</v>
      </c>
      <c r="D55" s="225">
        <v>1.8</v>
      </c>
      <c r="E55" s="8"/>
    </row>
    <row r="56" spans="1:5" x14ac:dyDescent="0.2">
      <c r="A56" s="85">
        <v>47</v>
      </c>
      <c r="B56" s="88"/>
      <c r="C56" s="67" t="s">
        <v>84</v>
      </c>
      <c r="D56" s="225">
        <v>1.8</v>
      </c>
      <c r="E56" s="8"/>
    </row>
    <row r="57" spans="1:5" x14ac:dyDescent="0.2">
      <c r="A57" s="85">
        <v>48</v>
      </c>
      <c r="B57" s="88"/>
      <c r="C57" s="67" t="s">
        <v>81</v>
      </c>
      <c r="D57" s="225">
        <v>1.8</v>
      </c>
      <c r="E57" s="8"/>
    </row>
    <row r="58" spans="1:5" x14ac:dyDescent="0.2">
      <c r="A58" s="85">
        <v>49</v>
      </c>
      <c r="B58" s="88"/>
      <c r="C58" s="67" t="s">
        <v>82</v>
      </c>
      <c r="D58" s="225">
        <v>2.1</v>
      </c>
      <c r="E58" s="8"/>
    </row>
    <row r="59" spans="1:5" x14ac:dyDescent="0.2">
      <c r="A59" s="85">
        <v>50</v>
      </c>
      <c r="B59" s="88"/>
      <c r="C59" s="67" t="s">
        <v>83</v>
      </c>
      <c r="D59" s="225">
        <v>1.9</v>
      </c>
      <c r="E59" s="8"/>
    </row>
    <row r="60" spans="1:5" x14ac:dyDescent="0.2">
      <c r="A60" s="85">
        <v>51</v>
      </c>
      <c r="B60" s="88"/>
      <c r="C60" s="70" t="s">
        <v>95</v>
      </c>
      <c r="D60" s="225">
        <v>1.8</v>
      </c>
      <c r="E60" s="8"/>
    </row>
    <row r="61" spans="1:5" x14ac:dyDescent="0.2">
      <c r="A61" s="85">
        <v>52</v>
      </c>
      <c r="B61" s="88"/>
      <c r="C61" s="67" t="s">
        <v>38</v>
      </c>
      <c r="D61" s="225">
        <v>1.3</v>
      </c>
      <c r="E61" s="8"/>
    </row>
    <row r="62" spans="1:5" x14ac:dyDescent="0.2">
      <c r="A62" s="85">
        <v>53</v>
      </c>
      <c r="B62" s="88"/>
      <c r="C62" s="71" t="s">
        <v>73</v>
      </c>
      <c r="D62" s="225">
        <v>1.2</v>
      </c>
      <c r="E62" s="8"/>
    </row>
    <row r="63" spans="1:5" x14ac:dyDescent="0.2">
      <c r="A63" s="85">
        <v>54</v>
      </c>
      <c r="B63" s="88"/>
      <c r="C63" s="71" t="s">
        <v>74</v>
      </c>
      <c r="D63" s="225">
        <v>0.2</v>
      </c>
      <c r="E63" s="8"/>
    </row>
    <row r="64" spans="1:5" x14ac:dyDescent="0.2">
      <c r="A64" s="85">
        <v>55</v>
      </c>
      <c r="B64" s="88"/>
      <c r="C64" s="71" t="s">
        <v>32</v>
      </c>
      <c r="D64" s="225">
        <v>0.8</v>
      </c>
      <c r="E64" s="8"/>
    </row>
    <row r="65" spans="1:5" x14ac:dyDescent="0.2">
      <c r="A65" s="85">
        <v>56</v>
      </c>
      <c r="B65" s="88"/>
      <c r="C65" s="67" t="s">
        <v>76</v>
      </c>
      <c r="D65" s="225">
        <v>1.1000000000000001</v>
      </c>
      <c r="E65" s="8"/>
    </row>
    <row r="66" spans="1:5" x14ac:dyDescent="0.2">
      <c r="A66" s="85">
        <v>59</v>
      </c>
      <c r="B66" s="88"/>
      <c r="C66" s="71" t="s">
        <v>539</v>
      </c>
      <c r="D66" s="225">
        <v>0.5</v>
      </c>
      <c r="E66" s="8"/>
    </row>
    <row r="67" spans="1:5" x14ac:dyDescent="0.2">
      <c r="A67" s="85">
        <v>60</v>
      </c>
      <c r="B67" s="88"/>
      <c r="C67" s="71" t="s">
        <v>33</v>
      </c>
      <c r="D67" s="225">
        <v>0.1</v>
      </c>
      <c r="E67" s="8"/>
    </row>
    <row r="68" spans="1:5" x14ac:dyDescent="0.2">
      <c r="A68" s="85">
        <v>61</v>
      </c>
      <c r="B68" s="88"/>
      <c r="C68" s="71" t="s">
        <v>75</v>
      </c>
      <c r="D68" s="225">
        <v>1.5</v>
      </c>
      <c r="E68" s="8"/>
    </row>
    <row r="69" spans="1:5" x14ac:dyDescent="0.2">
      <c r="A69" s="85">
        <v>62</v>
      </c>
      <c r="B69" s="88"/>
      <c r="C69" s="71" t="s">
        <v>34</v>
      </c>
      <c r="D69" s="225">
        <v>0.2</v>
      </c>
      <c r="E69" s="8"/>
    </row>
    <row r="70" spans="1:5" x14ac:dyDescent="0.2">
      <c r="A70" s="85">
        <v>63</v>
      </c>
      <c r="B70" s="88"/>
      <c r="C70" s="71" t="s">
        <v>64</v>
      </c>
      <c r="D70" s="225">
        <v>1.6</v>
      </c>
      <c r="E70" s="8"/>
    </row>
    <row r="71" spans="1:5" x14ac:dyDescent="0.2">
      <c r="A71" s="85">
        <v>64</v>
      </c>
      <c r="B71" s="88"/>
      <c r="C71" s="67" t="s">
        <v>46</v>
      </c>
      <c r="D71" s="225">
        <v>4.4000000000000004</v>
      </c>
      <c r="E71" s="8"/>
    </row>
    <row r="72" spans="1:5" x14ac:dyDescent="0.2">
      <c r="A72" s="85">
        <v>65</v>
      </c>
      <c r="B72" s="88"/>
      <c r="C72" s="76" t="s">
        <v>39</v>
      </c>
      <c r="D72" s="225">
        <v>3.7</v>
      </c>
      <c r="E72" s="8"/>
    </row>
    <row r="73" spans="1:5" x14ac:dyDescent="0.2">
      <c r="A73" s="85">
        <v>66</v>
      </c>
      <c r="B73" s="88"/>
      <c r="C73" s="67" t="s">
        <v>40</v>
      </c>
      <c r="D73" s="225">
        <v>13.3</v>
      </c>
      <c r="E73" s="8"/>
    </row>
    <row r="74" spans="1:5" x14ac:dyDescent="0.2">
      <c r="A74" s="85">
        <v>67</v>
      </c>
      <c r="B74" s="88"/>
      <c r="C74" s="218" t="s">
        <v>15</v>
      </c>
      <c r="D74" s="225">
        <v>0.3</v>
      </c>
      <c r="E74" s="8"/>
    </row>
    <row r="75" spans="1:5" x14ac:dyDescent="0.2">
      <c r="A75" s="85">
        <v>68</v>
      </c>
      <c r="B75" s="88"/>
      <c r="C75" s="218" t="s">
        <v>153</v>
      </c>
      <c r="D75" s="225">
        <v>0.2</v>
      </c>
      <c r="E75" s="8"/>
    </row>
    <row r="76" spans="1:5" ht="12.95" customHeight="1" x14ac:dyDescent="0.2">
      <c r="A76" s="85">
        <v>69</v>
      </c>
      <c r="B76" s="84" t="s">
        <v>21</v>
      </c>
      <c r="C76" s="98" t="s">
        <v>22</v>
      </c>
      <c r="D76" s="79">
        <f>+D77+D79+D81+D83+D85+D91+D93+D95+D97+D99+D104+D106+D108+D110+D112+D114+D116</f>
        <v>1521.3999999999999</v>
      </c>
      <c r="E76" s="8"/>
    </row>
    <row r="77" spans="1:5" ht="12.95" customHeight="1" x14ac:dyDescent="0.2">
      <c r="A77" s="85">
        <v>70</v>
      </c>
      <c r="B77" s="88" t="s">
        <v>119</v>
      </c>
      <c r="C77" s="212" t="s">
        <v>262</v>
      </c>
      <c r="D77" s="201">
        <f>+D78</f>
        <v>25</v>
      </c>
      <c r="E77" s="8"/>
    </row>
    <row r="78" spans="1:5" ht="12.95" customHeight="1" x14ac:dyDescent="0.2">
      <c r="A78" s="85">
        <v>71</v>
      </c>
      <c r="B78" s="88"/>
      <c r="C78" s="183" t="s">
        <v>78</v>
      </c>
      <c r="D78" s="89">
        <v>25</v>
      </c>
      <c r="E78" s="8"/>
    </row>
    <row r="79" spans="1:5" ht="25.5" x14ac:dyDescent="0.2">
      <c r="A79" s="85">
        <v>72</v>
      </c>
      <c r="B79" s="88" t="s">
        <v>121</v>
      </c>
      <c r="C79" s="212" t="s">
        <v>263</v>
      </c>
      <c r="D79" s="201">
        <f>+D80</f>
        <v>161.5</v>
      </c>
      <c r="E79" s="8"/>
    </row>
    <row r="80" spans="1:5" ht="12.95" customHeight="1" x14ac:dyDescent="0.2">
      <c r="A80" s="85">
        <v>73</v>
      </c>
      <c r="B80" s="88"/>
      <c r="C80" s="183" t="s">
        <v>3</v>
      </c>
      <c r="D80" s="89">
        <f>151.8+9.7</f>
        <v>161.5</v>
      </c>
      <c r="E80" s="8"/>
    </row>
    <row r="81" spans="1:5" ht="25.5" x14ac:dyDescent="0.2">
      <c r="A81" s="85">
        <v>74</v>
      </c>
      <c r="B81" s="88" t="s">
        <v>122</v>
      </c>
      <c r="C81" s="99" t="s">
        <v>264</v>
      </c>
      <c r="D81" s="201">
        <f>+D82</f>
        <v>82</v>
      </c>
      <c r="E81" s="8"/>
    </row>
    <row r="82" spans="1:5" ht="12.95" customHeight="1" x14ac:dyDescent="0.2">
      <c r="A82" s="85">
        <v>75</v>
      </c>
      <c r="B82" s="88"/>
      <c r="C82" s="183" t="s">
        <v>3</v>
      </c>
      <c r="D82" s="89">
        <f>85.1-3.1</f>
        <v>82</v>
      </c>
      <c r="E82" s="8"/>
    </row>
    <row r="83" spans="1:5" ht="12.95" customHeight="1" x14ac:dyDescent="0.2">
      <c r="A83" s="85">
        <v>76</v>
      </c>
      <c r="B83" s="88" t="s">
        <v>124</v>
      </c>
      <c r="C83" s="99" t="s">
        <v>265</v>
      </c>
      <c r="D83" s="201">
        <f>+D84</f>
        <v>61.20000000000001</v>
      </c>
      <c r="E83" s="8"/>
    </row>
    <row r="84" spans="1:5" ht="12.95" customHeight="1" x14ac:dyDescent="0.2">
      <c r="A84" s="85">
        <v>77</v>
      </c>
      <c r="B84" s="88"/>
      <c r="C84" s="70" t="s">
        <v>3</v>
      </c>
      <c r="D84" s="89">
        <f>152.8-50-41.6</f>
        <v>61.20000000000001</v>
      </c>
      <c r="E84" s="8"/>
    </row>
    <row r="85" spans="1:5" ht="25.5" x14ac:dyDescent="0.2">
      <c r="A85" s="85">
        <v>78</v>
      </c>
      <c r="B85" s="88" t="s">
        <v>126</v>
      </c>
      <c r="C85" s="99" t="s">
        <v>492</v>
      </c>
      <c r="D85" s="201">
        <f>SUM(D86:D90)</f>
        <v>132.4</v>
      </c>
      <c r="E85" s="8"/>
    </row>
    <row r="86" spans="1:5" ht="12.95" customHeight="1" x14ac:dyDescent="0.2">
      <c r="A86" s="85">
        <v>79</v>
      </c>
      <c r="B86" s="88"/>
      <c r="C86" s="76" t="s">
        <v>1</v>
      </c>
      <c r="D86" s="89">
        <v>56.5</v>
      </c>
      <c r="E86" s="8"/>
    </row>
    <row r="87" spans="1:5" ht="12.95" customHeight="1" x14ac:dyDescent="0.2">
      <c r="A87" s="85">
        <v>80</v>
      </c>
      <c r="B87" s="88"/>
      <c r="C87" s="101" t="s">
        <v>2</v>
      </c>
      <c r="D87" s="89">
        <v>2.6</v>
      </c>
      <c r="E87" s="8"/>
    </row>
    <row r="88" spans="1:5" ht="12.95" customHeight="1" x14ac:dyDescent="0.2">
      <c r="A88" s="85">
        <v>81</v>
      </c>
      <c r="B88" s="88"/>
      <c r="C88" s="92" t="s">
        <v>15</v>
      </c>
      <c r="D88" s="89">
        <v>11.6</v>
      </c>
      <c r="E88" s="8"/>
    </row>
    <row r="89" spans="1:5" ht="12.95" customHeight="1" x14ac:dyDescent="0.2">
      <c r="A89" s="85">
        <v>82</v>
      </c>
      <c r="B89" s="88"/>
      <c r="C89" s="92" t="s">
        <v>19</v>
      </c>
      <c r="D89" s="89">
        <v>8.5</v>
      </c>
      <c r="E89" s="8"/>
    </row>
    <row r="90" spans="1:5" ht="12.95" customHeight="1" x14ac:dyDescent="0.2">
      <c r="A90" s="85">
        <v>83</v>
      </c>
      <c r="B90" s="88"/>
      <c r="C90" s="76" t="s">
        <v>78</v>
      </c>
      <c r="D90" s="89">
        <f>52.8+0.4</f>
        <v>53.199999999999996</v>
      </c>
      <c r="E90" s="8"/>
    </row>
    <row r="91" spans="1:5" ht="12.95" customHeight="1" x14ac:dyDescent="0.2">
      <c r="A91" s="85">
        <v>84</v>
      </c>
      <c r="B91" s="88" t="s">
        <v>194</v>
      </c>
      <c r="C91" s="99" t="s">
        <v>495</v>
      </c>
      <c r="D91" s="201">
        <f>+D92</f>
        <v>47.5</v>
      </c>
      <c r="E91" s="8"/>
    </row>
    <row r="92" spans="1:5" ht="12.95" customHeight="1" x14ac:dyDescent="0.2">
      <c r="A92" s="85">
        <v>85</v>
      </c>
      <c r="B92" s="88"/>
      <c r="C92" s="70" t="s">
        <v>494</v>
      </c>
      <c r="D92" s="89">
        <f>53.2-5.7</f>
        <v>47.5</v>
      </c>
      <c r="E92" s="8"/>
    </row>
    <row r="93" spans="1:5" ht="12.95" customHeight="1" x14ac:dyDescent="0.2">
      <c r="A93" s="85">
        <v>86</v>
      </c>
      <c r="B93" s="88" t="s">
        <v>200</v>
      </c>
      <c r="C93" s="99" t="s">
        <v>496</v>
      </c>
      <c r="D93" s="201">
        <f>+D94</f>
        <v>20.7</v>
      </c>
      <c r="E93" s="8"/>
    </row>
    <row r="94" spans="1:5" ht="12.95" customHeight="1" x14ac:dyDescent="0.2">
      <c r="A94" s="85">
        <v>87</v>
      </c>
      <c r="B94" s="88"/>
      <c r="C94" s="70" t="s">
        <v>494</v>
      </c>
      <c r="D94" s="89">
        <f>24.4-3.7</f>
        <v>20.7</v>
      </c>
      <c r="E94" s="8"/>
    </row>
    <row r="95" spans="1:5" ht="25.5" x14ac:dyDescent="0.2">
      <c r="A95" s="85">
        <v>88</v>
      </c>
      <c r="B95" s="88" t="s">
        <v>503</v>
      </c>
      <c r="C95" s="99" t="s">
        <v>502</v>
      </c>
      <c r="D95" s="201">
        <f>+D96</f>
        <v>31.3</v>
      </c>
      <c r="E95" s="8"/>
    </row>
    <row r="96" spans="1:5" ht="12.95" customHeight="1" x14ac:dyDescent="0.2">
      <c r="A96" s="85">
        <v>89</v>
      </c>
      <c r="B96" s="88"/>
      <c r="C96" s="70" t="s">
        <v>3</v>
      </c>
      <c r="D96" s="89">
        <f>28.5+2.8</f>
        <v>31.3</v>
      </c>
      <c r="E96" s="8"/>
    </row>
    <row r="97" spans="1:7" ht="51" x14ac:dyDescent="0.2">
      <c r="A97" s="85">
        <v>90</v>
      </c>
      <c r="B97" s="88" t="s">
        <v>504</v>
      </c>
      <c r="C97" s="99" t="s">
        <v>505</v>
      </c>
      <c r="D97" s="201">
        <f>+D98</f>
        <v>8.5000000000000018</v>
      </c>
      <c r="E97" s="8"/>
    </row>
    <row r="98" spans="1:7" ht="12.95" customHeight="1" x14ac:dyDescent="0.2">
      <c r="A98" s="85">
        <v>91</v>
      </c>
      <c r="B98" s="88"/>
      <c r="C98" s="70" t="s">
        <v>3</v>
      </c>
      <c r="D98" s="89">
        <f>2.2+3.1+1.4+1.8</f>
        <v>8.5000000000000018</v>
      </c>
      <c r="E98" s="8"/>
    </row>
    <row r="99" spans="1:7" ht="25.5" x14ac:dyDescent="0.2">
      <c r="A99" s="85">
        <v>92</v>
      </c>
      <c r="B99" s="88" t="s">
        <v>507</v>
      </c>
      <c r="C99" s="212" t="s">
        <v>506</v>
      </c>
      <c r="D99" s="201">
        <f>SUM(D100:D103)</f>
        <v>29.9</v>
      </c>
      <c r="E99" s="8"/>
    </row>
    <row r="100" spans="1:7" ht="12.95" customHeight="1" x14ac:dyDescent="0.2">
      <c r="A100" s="85">
        <v>93</v>
      </c>
      <c r="B100" s="88"/>
      <c r="C100" s="93" t="s">
        <v>1</v>
      </c>
      <c r="D100" s="89">
        <v>9.6999999999999993</v>
      </c>
      <c r="E100" s="8"/>
    </row>
    <row r="101" spans="1:7" x14ac:dyDescent="0.2">
      <c r="A101" s="85">
        <v>94</v>
      </c>
      <c r="B101" s="88"/>
      <c r="C101" s="95" t="s">
        <v>2</v>
      </c>
      <c r="D101" s="89">
        <v>6.5</v>
      </c>
      <c r="E101" s="8"/>
    </row>
    <row r="102" spans="1:7" ht="15" customHeight="1" x14ac:dyDescent="0.2">
      <c r="A102" s="85">
        <v>95</v>
      </c>
      <c r="B102" s="88"/>
      <c r="C102" s="92" t="s">
        <v>15</v>
      </c>
      <c r="D102" s="89">
        <v>4.8</v>
      </c>
      <c r="E102" s="8"/>
    </row>
    <row r="103" spans="1:7" ht="12.95" customHeight="1" x14ac:dyDescent="0.2">
      <c r="A103" s="85">
        <v>96</v>
      </c>
      <c r="B103" s="88"/>
      <c r="C103" s="95" t="s">
        <v>78</v>
      </c>
      <c r="D103" s="89">
        <v>8.9</v>
      </c>
      <c r="E103" s="8"/>
    </row>
    <row r="104" spans="1:7" ht="38.25" x14ac:dyDescent="0.2">
      <c r="A104" s="85">
        <v>97</v>
      </c>
      <c r="B104" s="88" t="s">
        <v>514</v>
      </c>
      <c r="C104" s="202" t="s">
        <v>529</v>
      </c>
      <c r="D104" s="201">
        <f>+D105</f>
        <v>2.2999999999999998</v>
      </c>
      <c r="E104" s="8"/>
    </row>
    <row r="105" spans="1:7" ht="12.95" customHeight="1" x14ac:dyDescent="0.2">
      <c r="A105" s="85">
        <v>98</v>
      </c>
      <c r="B105" s="88"/>
      <c r="C105" s="70" t="s">
        <v>3</v>
      </c>
      <c r="D105" s="89">
        <f>0.6+0.6+1.1</f>
        <v>2.2999999999999998</v>
      </c>
      <c r="E105" s="8"/>
    </row>
    <row r="106" spans="1:7" ht="38.25" x14ac:dyDescent="0.2">
      <c r="A106" s="85">
        <v>99</v>
      </c>
      <c r="B106" s="88" t="s">
        <v>516</v>
      </c>
      <c r="C106" s="202" t="s">
        <v>515</v>
      </c>
      <c r="D106" s="201">
        <f>+D107</f>
        <v>136.1</v>
      </c>
      <c r="E106" s="8"/>
    </row>
    <row r="107" spans="1:7" ht="12.95" customHeight="1" x14ac:dyDescent="0.2">
      <c r="A107" s="85">
        <v>100</v>
      </c>
      <c r="B107" s="88"/>
      <c r="C107" s="70" t="s">
        <v>3</v>
      </c>
      <c r="D107" s="89">
        <f>49.5+44.5+42.1</f>
        <v>136.1</v>
      </c>
      <c r="E107" s="8"/>
    </row>
    <row r="108" spans="1:7" ht="38.25" x14ac:dyDescent="0.2">
      <c r="A108" s="85">
        <v>101</v>
      </c>
      <c r="B108" s="88" t="s">
        <v>520</v>
      </c>
      <c r="C108" s="202" t="s">
        <v>517</v>
      </c>
      <c r="D108" s="201">
        <f>+D109</f>
        <v>0.79999999999999993</v>
      </c>
      <c r="E108" s="8"/>
    </row>
    <row r="109" spans="1:7" ht="12.95" customHeight="1" x14ac:dyDescent="0.2">
      <c r="A109" s="85">
        <v>102</v>
      </c>
      <c r="B109" s="88"/>
      <c r="C109" s="70" t="s">
        <v>3</v>
      </c>
      <c r="D109" s="89">
        <f>0.4+0.3+0.1</f>
        <v>0.79999999999999993</v>
      </c>
      <c r="E109" s="8"/>
    </row>
    <row r="110" spans="1:7" ht="25.5" customHeight="1" x14ac:dyDescent="0.2">
      <c r="A110" s="85">
        <v>103</v>
      </c>
      <c r="B110" s="88" t="s">
        <v>521</v>
      </c>
      <c r="C110" s="99" t="s">
        <v>522</v>
      </c>
      <c r="D110" s="201">
        <f>+D111</f>
        <v>0.2</v>
      </c>
      <c r="E110" s="8"/>
      <c r="G110" s="54"/>
    </row>
    <row r="111" spans="1:7" ht="12.95" customHeight="1" x14ac:dyDescent="0.2">
      <c r="A111" s="85">
        <v>104</v>
      </c>
      <c r="B111" s="88"/>
      <c r="C111" s="70" t="s">
        <v>3</v>
      </c>
      <c r="D111" s="89">
        <v>0.2</v>
      </c>
      <c r="E111" s="16"/>
    </row>
    <row r="112" spans="1:7" ht="38.25" x14ac:dyDescent="0.2">
      <c r="A112" s="85">
        <v>105</v>
      </c>
      <c r="B112" s="88" t="s">
        <v>527</v>
      </c>
      <c r="C112" s="99" t="s">
        <v>526</v>
      </c>
      <c r="D112" s="201">
        <f>+D113</f>
        <v>24.4</v>
      </c>
      <c r="E112" s="16"/>
    </row>
    <row r="113" spans="1:5" ht="12.95" customHeight="1" x14ac:dyDescent="0.2">
      <c r="A113" s="85">
        <v>106</v>
      </c>
      <c r="B113" s="88"/>
      <c r="C113" s="183" t="s">
        <v>3</v>
      </c>
      <c r="D113" s="89">
        <f>7.8+7.8+8.8</f>
        <v>24.4</v>
      </c>
      <c r="E113" s="16"/>
    </row>
    <row r="114" spans="1:5" ht="12.95" customHeight="1" x14ac:dyDescent="0.2">
      <c r="A114" s="85">
        <v>107</v>
      </c>
      <c r="B114" s="88" t="s">
        <v>649</v>
      </c>
      <c r="C114" s="228" t="s">
        <v>532</v>
      </c>
      <c r="D114" s="201">
        <f>+D115</f>
        <v>157.30000000000001</v>
      </c>
      <c r="E114" s="16"/>
    </row>
    <row r="115" spans="1:5" ht="12.95" customHeight="1" x14ac:dyDescent="0.2">
      <c r="A115" s="85">
        <v>108</v>
      </c>
      <c r="B115" s="88"/>
      <c r="C115" s="183" t="s">
        <v>3</v>
      </c>
      <c r="D115" s="89">
        <v>157.30000000000001</v>
      </c>
      <c r="E115" s="16"/>
    </row>
    <row r="116" spans="1:5" ht="25.5" x14ac:dyDescent="0.2">
      <c r="A116" s="85">
        <v>109</v>
      </c>
      <c r="B116" s="88" t="s">
        <v>536</v>
      </c>
      <c r="C116" s="99" t="s">
        <v>650</v>
      </c>
      <c r="D116" s="201">
        <f>SUM(D117:D128)</f>
        <v>600.29999999999995</v>
      </c>
      <c r="E116" s="16"/>
    </row>
    <row r="117" spans="1:5" ht="12.95" customHeight="1" x14ac:dyDescent="0.2">
      <c r="A117" s="85">
        <v>110</v>
      </c>
      <c r="B117" s="88"/>
      <c r="C117" s="70" t="s">
        <v>3</v>
      </c>
      <c r="D117" s="89">
        <v>122</v>
      </c>
      <c r="E117" s="16"/>
    </row>
    <row r="118" spans="1:5" ht="12.95" customHeight="1" x14ac:dyDescent="0.2">
      <c r="A118" s="85">
        <v>111</v>
      </c>
      <c r="B118" s="88"/>
      <c r="C118" s="70" t="s">
        <v>8</v>
      </c>
      <c r="D118" s="89">
        <v>189.3</v>
      </c>
      <c r="E118" s="16"/>
    </row>
    <row r="119" spans="1:5" ht="12.95" customHeight="1" x14ac:dyDescent="0.2">
      <c r="A119" s="85">
        <v>112</v>
      </c>
      <c r="B119" s="88"/>
      <c r="C119" s="70" t="s">
        <v>4</v>
      </c>
      <c r="D119" s="89">
        <v>64</v>
      </c>
      <c r="E119" s="16"/>
    </row>
    <row r="120" spans="1:5" ht="12.95" customHeight="1" x14ac:dyDescent="0.2">
      <c r="A120" s="85">
        <v>113</v>
      </c>
      <c r="B120" s="88"/>
      <c r="C120" s="70" t="s">
        <v>5</v>
      </c>
      <c r="D120" s="89">
        <v>36</v>
      </c>
      <c r="E120" s="16"/>
    </row>
    <row r="121" spans="1:5" ht="12.95" customHeight="1" x14ac:dyDescent="0.2">
      <c r="A121" s="85">
        <v>114</v>
      </c>
      <c r="B121" s="88"/>
      <c r="C121" s="70" t="s">
        <v>7</v>
      </c>
      <c r="D121" s="89">
        <v>20</v>
      </c>
      <c r="E121" s="16"/>
    </row>
    <row r="122" spans="1:5" ht="12.95" customHeight="1" x14ac:dyDescent="0.2">
      <c r="A122" s="85">
        <v>115</v>
      </c>
      <c r="B122" s="88"/>
      <c r="C122" s="70" t="s">
        <v>6</v>
      </c>
      <c r="D122" s="89">
        <v>36</v>
      </c>
      <c r="E122" s="16"/>
    </row>
    <row r="123" spans="1:5" ht="12.95" customHeight="1" x14ac:dyDescent="0.2">
      <c r="A123" s="85">
        <v>116</v>
      </c>
      <c r="B123" s="88"/>
      <c r="C123" s="70" t="s">
        <v>9</v>
      </c>
      <c r="D123" s="89">
        <v>20</v>
      </c>
      <c r="E123" s="16"/>
    </row>
    <row r="124" spans="1:5" ht="12.95" customHeight="1" x14ac:dyDescent="0.2">
      <c r="A124" s="85">
        <v>117</v>
      </c>
      <c r="B124" s="88"/>
      <c r="C124" s="93" t="s">
        <v>10</v>
      </c>
      <c r="D124" s="89">
        <v>20</v>
      </c>
      <c r="E124" s="16"/>
    </row>
    <row r="125" spans="1:5" ht="12.95" customHeight="1" x14ac:dyDescent="0.2">
      <c r="A125" s="85">
        <v>118</v>
      </c>
      <c r="B125" s="88"/>
      <c r="C125" s="70" t="s">
        <v>12</v>
      </c>
      <c r="D125" s="89">
        <v>22</v>
      </c>
      <c r="E125" s="16"/>
    </row>
    <row r="126" spans="1:5" ht="12.95" customHeight="1" x14ac:dyDescent="0.2">
      <c r="A126" s="85">
        <v>119</v>
      </c>
      <c r="B126" s="88"/>
      <c r="C126" s="70" t="s">
        <v>11</v>
      </c>
      <c r="D126" s="89">
        <v>37</v>
      </c>
      <c r="E126" s="16"/>
    </row>
    <row r="127" spans="1:5" ht="12.95" customHeight="1" x14ac:dyDescent="0.2">
      <c r="A127" s="85">
        <v>120</v>
      </c>
      <c r="B127" s="88"/>
      <c r="C127" s="70" t="s">
        <v>13</v>
      </c>
      <c r="D127" s="89">
        <v>16</v>
      </c>
      <c r="E127" s="16"/>
    </row>
    <row r="128" spans="1:5" ht="12.95" customHeight="1" x14ac:dyDescent="0.2">
      <c r="A128" s="85">
        <v>121</v>
      </c>
      <c r="B128" s="88"/>
      <c r="C128" s="70" t="s">
        <v>14</v>
      </c>
      <c r="D128" s="89">
        <v>18</v>
      </c>
      <c r="E128" s="16"/>
    </row>
    <row r="129" spans="1:5" ht="15" customHeight="1" x14ac:dyDescent="0.2">
      <c r="A129" s="85">
        <v>122</v>
      </c>
      <c r="B129" s="84" t="s">
        <v>51</v>
      </c>
      <c r="C129" s="98" t="s">
        <v>97</v>
      </c>
      <c r="D129" s="79">
        <f>+D130+D132</f>
        <v>269.39999999999998</v>
      </c>
      <c r="E129" s="16"/>
    </row>
    <row r="130" spans="1:5" ht="25.5" x14ac:dyDescent="0.2">
      <c r="A130" s="85">
        <v>123</v>
      </c>
      <c r="B130" s="88" t="s">
        <v>161</v>
      </c>
      <c r="C130" s="212" t="s">
        <v>523</v>
      </c>
      <c r="D130" s="201">
        <f>+D131</f>
        <v>237.4</v>
      </c>
      <c r="E130" s="16"/>
    </row>
    <row r="131" spans="1:5" x14ac:dyDescent="0.2">
      <c r="A131" s="85">
        <v>124</v>
      </c>
      <c r="B131" s="88"/>
      <c r="C131" s="76" t="s">
        <v>65</v>
      </c>
      <c r="D131" s="89">
        <v>237.4</v>
      </c>
      <c r="E131" s="16"/>
    </row>
    <row r="132" spans="1:5" x14ac:dyDescent="0.2">
      <c r="A132" s="85">
        <v>125</v>
      </c>
      <c r="B132" s="88" t="s">
        <v>796</v>
      </c>
      <c r="C132" s="212" t="s">
        <v>545</v>
      </c>
      <c r="D132" s="201">
        <f>+D133</f>
        <v>32</v>
      </c>
      <c r="E132" s="16"/>
    </row>
    <row r="133" spans="1:5" x14ac:dyDescent="0.2">
      <c r="A133" s="85">
        <v>126</v>
      </c>
      <c r="B133" s="88"/>
      <c r="C133" s="70" t="s">
        <v>3</v>
      </c>
      <c r="D133" s="89">
        <f>+D134</f>
        <v>32</v>
      </c>
      <c r="E133" s="16"/>
    </row>
    <row r="134" spans="1:5" x14ac:dyDescent="0.2">
      <c r="A134" s="85">
        <v>127</v>
      </c>
      <c r="B134" s="88"/>
      <c r="C134" s="96" t="s">
        <v>543</v>
      </c>
      <c r="D134" s="89">
        <v>32</v>
      </c>
      <c r="E134" s="16"/>
    </row>
    <row r="135" spans="1:5" x14ac:dyDescent="0.2">
      <c r="A135" s="85">
        <v>128</v>
      </c>
      <c r="B135" s="84" t="s">
        <v>52</v>
      </c>
      <c r="C135" s="98" t="s">
        <v>53</v>
      </c>
      <c r="D135" s="229">
        <f>+D136+D138</f>
        <v>91.300000000000011</v>
      </c>
      <c r="E135" s="16"/>
    </row>
    <row r="136" spans="1:5" x14ac:dyDescent="0.2">
      <c r="A136" s="85">
        <v>129</v>
      </c>
      <c r="B136" s="88" t="s">
        <v>201</v>
      </c>
      <c r="C136" s="212" t="s">
        <v>266</v>
      </c>
      <c r="D136" s="201">
        <f>+D137</f>
        <v>59.7</v>
      </c>
      <c r="E136" s="16"/>
    </row>
    <row r="137" spans="1:5" x14ac:dyDescent="0.2">
      <c r="A137" s="85">
        <v>130</v>
      </c>
      <c r="B137" s="88"/>
      <c r="C137" s="70" t="s">
        <v>45</v>
      </c>
      <c r="D137" s="89">
        <v>59.7</v>
      </c>
      <c r="E137" s="16"/>
    </row>
    <row r="138" spans="1:5" x14ac:dyDescent="0.2">
      <c r="A138" s="85">
        <v>131</v>
      </c>
      <c r="B138" s="88" t="s">
        <v>498</v>
      </c>
      <c r="C138" s="212" t="s">
        <v>497</v>
      </c>
      <c r="D138" s="201">
        <f>+D139</f>
        <v>31.6</v>
      </c>
      <c r="E138" s="16"/>
    </row>
    <row r="139" spans="1:5" x14ac:dyDescent="0.2">
      <c r="A139" s="85">
        <v>132</v>
      </c>
      <c r="B139" s="88"/>
      <c r="C139" s="205" t="s">
        <v>3</v>
      </c>
      <c r="D139" s="89">
        <v>31.6</v>
      </c>
      <c r="E139" s="16"/>
    </row>
    <row r="140" spans="1:5" x14ac:dyDescent="0.2">
      <c r="A140" s="85">
        <v>133</v>
      </c>
      <c r="B140" s="84" t="s">
        <v>54</v>
      </c>
      <c r="C140" s="104" t="s">
        <v>55</v>
      </c>
      <c r="D140" s="79">
        <f>+D141</f>
        <v>2845.7</v>
      </c>
      <c r="E140" s="16"/>
    </row>
    <row r="141" spans="1:5" x14ac:dyDescent="0.2">
      <c r="A141" s="85">
        <v>134</v>
      </c>
      <c r="B141" s="88" t="s">
        <v>499</v>
      </c>
      <c r="C141" s="99" t="s">
        <v>500</v>
      </c>
      <c r="D141" s="201">
        <f>+D142</f>
        <v>2845.7</v>
      </c>
      <c r="E141" s="16"/>
    </row>
    <row r="142" spans="1:5" x14ac:dyDescent="0.2">
      <c r="A142" s="85">
        <v>135</v>
      </c>
      <c r="B142" s="84"/>
      <c r="C142" s="70" t="s">
        <v>3</v>
      </c>
      <c r="D142" s="89">
        <v>2845.7</v>
      </c>
      <c r="E142" s="16"/>
    </row>
    <row r="143" spans="1:5" x14ac:dyDescent="0.2">
      <c r="A143" s="85">
        <v>136</v>
      </c>
      <c r="B143" s="84" t="s">
        <v>56</v>
      </c>
      <c r="C143" s="98" t="s">
        <v>57</v>
      </c>
      <c r="D143" s="79">
        <f>+D144+D146+D148</f>
        <v>30.2</v>
      </c>
      <c r="E143" s="16"/>
    </row>
    <row r="144" spans="1:5" ht="25.5" x14ac:dyDescent="0.2">
      <c r="A144" s="85">
        <v>137</v>
      </c>
      <c r="B144" s="88" t="s">
        <v>202</v>
      </c>
      <c r="C144" s="228" t="s">
        <v>208</v>
      </c>
      <c r="D144" s="201">
        <f>+D145</f>
        <v>14.1</v>
      </c>
      <c r="E144" s="16"/>
    </row>
    <row r="145" spans="1:5" x14ac:dyDescent="0.2">
      <c r="A145" s="85">
        <v>138</v>
      </c>
      <c r="B145" s="84"/>
      <c r="C145" s="183" t="s">
        <v>3</v>
      </c>
      <c r="D145" s="89">
        <v>14.1</v>
      </c>
      <c r="E145" s="16"/>
    </row>
    <row r="146" spans="1:5" ht="25.5" x14ac:dyDescent="0.2">
      <c r="A146" s="85">
        <v>139</v>
      </c>
      <c r="B146" s="88" t="s">
        <v>519</v>
      </c>
      <c r="C146" s="228" t="s">
        <v>518</v>
      </c>
      <c r="D146" s="201">
        <f>+D147</f>
        <v>2.1</v>
      </c>
      <c r="E146" s="16"/>
    </row>
    <row r="147" spans="1:5" x14ac:dyDescent="0.2">
      <c r="A147" s="85">
        <v>140</v>
      </c>
      <c r="B147" s="84"/>
      <c r="C147" s="183" t="s">
        <v>3</v>
      </c>
      <c r="D147" s="89">
        <v>2.1</v>
      </c>
      <c r="E147" s="16"/>
    </row>
    <row r="148" spans="1:5" ht="25.5" x14ac:dyDescent="0.2">
      <c r="A148" s="85">
        <v>141</v>
      </c>
      <c r="B148" s="88" t="s">
        <v>533</v>
      </c>
      <c r="C148" s="228" t="s">
        <v>537</v>
      </c>
      <c r="D148" s="201">
        <f>+D149</f>
        <v>14</v>
      </c>
      <c r="E148" s="16"/>
    </row>
    <row r="149" spans="1:5" x14ac:dyDescent="0.2">
      <c r="A149" s="85">
        <v>142</v>
      </c>
      <c r="B149" s="84"/>
      <c r="C149" s="183" t="s">
        <v>3</v>
      </c>
      <c r="D149" s="89">
        <v>14</v>
      </c>
      <c r="E149" s="16"/>
    </row>
    <row r="150" spans="1:5" x14ac:dyDescent="0.2">
      <c r="A150" s="85">
        <v>143</v>
      </c>
      <c r="B150" s="84" t="s">
        <v>26</v>
      </c>
      <c r="C150" s="98" t="s">
        <v>27</v>
      </c>
      <c r="D150" s="79">
        <f>+D151+D153</f>
        <v>458.5</v>
      </c>
      <c r="E150" s="16"/>
    </row>
    <row r="151" spans="1:5" ht="25.5" x14ac:dyDescent="0.2">
      <c r="A151" s="85">
        <v>144</v>
      </c>
      <c r="B151" s="88" t="s">
        <v>128</v>
      </c>
      <c r="C151" s="228" t="s">
        <v>354</v>
      </c>
      <c r="D151" s="201">
        <f>+D152</f>
        <v>158.5</v>
      </c>
      <c r="E151" s="16"/>
    </row>
    <row r="152" spans="1:5" x14ac:dyDescent="0.2">
      <c r="A152" s="85">
        <v>145</v>
      </c>
      <c r="B152" s="88"/>
      <c r="C152" s="183" t="s">
        <v>3</v>
      </c>
      <c r="D152" s="89">
        <v>158.5</v>
      </c>
      <c r="E152" s="16"/>
    </row>
    <row r="153" spans="1:5" ht="25.5" x14ac:dyDescent="0.2">
      <c r="A153" s="85">
        <v>146</v>
      </c>
      <c r="B153" s="88" t="s">
        <v>130</v>
      </c>
      <c r="C153" s="228" t="s">
        <v>212</v>
      </c>
      <c r="D153" s="201">
        <f>+D154</f>
        <v>300</v>
      </c>
      <c r="E153" s="16"/>
    </row>
    <row r="154" spans="1:5" x14ac:dyDescent="0.2">
      <c r="A154" s="85">
        <v>147</v>
      </c>
      <c r="B154" s="88"/>
      <c r="C154" s="183" t="s">
        <v>3</v>
      </c>
      <c r="D154" s="89">
        <v>300</v>
      </c>
      <c r="E154" s="16"/>
    </row>
    <row r="155" spans="1:5" x14ac:dyDescent="0.2">
      <c r="A155" s="85">
        <v>148</v>
      </c>
      <c r="B155" s="84" t="s">
        <v>58</v>
      </c>
      <c r="C155" s="98" t="s">
        <v>59</v>
      </c>
      <c r="D155" s="79">
        <f>+D156</f>
        <v>150</v>
      </c>
      <c r="E155" s="16"/>
    </row>
    <row r="156" spans="1:5" ht="25.5" x14ac:dyDescent="0.2">
      <c r="A156" s="85">
        <v>149</v>
      </c>
      <c r="B156" s="88" t="s">
        <v>797</v>
      </c>
      <c r="C156" s="228" t="s">
        <v>538</v>
      </c>
      <c r="D156" s="201">
        <f>+D157</f>
        <v>150</v>
      </c>
      <c r="E156" s="16"/>
    </row>
    <row r="157" spans="1:5" x14ac:dyDescent="0.2">
      <c r="A157" s="85">
        <v>150</v>
      </c>
      <c r="B157" s="88"/>
      <c r="C157" s="183" t="s">
        <v>3</v>
      </c>
      <c r="D157" s="89">
        <v>150</v>
      </c>
      <c r="E157" s="16"/>
    </row>
    <row r="158" spans="1:5" x14ac:dyDescent="0.2">
      <c r="A158" s="85">
        <v>151</v>
      </c>
      <c r="B158" s="84" t="s">
        <v>23</v>
      </c>
      <c r="C158" s="98" t="s">
        <v>24</v>
      </c>
      <c r="D158" s="79">
        <f>+D159</f>
        <v>17.399999999999999</v>
      </c>
      <c r="E158" s="16"/>
    </row>
    <row r="159" spans="1:5" ht="38.25" x14ac:dyDescent="0.2">
      <c r="A159" s="85">
        <v>152</v>
      </c>
      <c r="B159" s="88" t="s">
        <v>28</v>
      </c>
      <c r="C159" s="212" t="s">
        <v>511</v>
      </c>
      <c r="D159" s="201">
        <f>+D160</f>
        <v>17.399999999999999</v>
      </c>
      <c r="E159" s="16"/>
    </row>
    <row r="160" spans="1:5" x14ac:dyDescent="0.2">
      <c r="A160" s="85">
        <v>153</v>
      </c>
      <c r="B160" s="88"/>
      <c r="C160" s="205" t="s">
        <v>3</v>
      </c>
      <c r="D160" s="89">
        <f>3.7+12.7+1</f>
        <v>17.399999999999999</v>
      </c>
      <c r="E160" s="8"/>
    </row>
    <row r="161" spans="1:7" x14ac:dyDescent="0.2">
      <c r="A161" s="85">
        <v>154</v>
      </c>
      <c r="B161" s="84"/>
      <c r="C161" s="179" t="s">
        <v>20</v>
      </c>
      <c r="D161" s="79">
        <f>+D10+D76+D135+D143+D150+D140+D158+D129+D155</f>
        <v>6067.4999999999991</v>
      </c>
      <c r="E161" s="8"/>
    </row>
    <row r="162" spans="1:7" x14ac:dyDescent="0.2">
      <c r="C162" s="22" t="s">
        <v>66</v>
      </c>
      <c r="D162" s="19"/>
      <c r="E162" s="8"/>
    </row>
    <row r="163" spans="1:7" x14ac:dyDescent="0.2">
      <c r="C163" s="230"/>
      <c r="D163" s="19"/>
      <c r="E163" s="8"/>
    </row>
    <row r="164" spans="1:7" x14ac:dyDescent="0.2">
      <c r="C164" s="230"/>
      <c r="D164" s="16"/>
      <c r="E164" s="8"/>
    </row>
    <row r="165" spans="1:7" x14ac:dyDescent="0.2">
      <c r="D165" s="16"/>
      <c r="E165" s="8"/>
    </row>
    <row r="166" spans="1:7" x14ac:dyDescent="0.2">
      <c r="C166" s="231"/>
      <c r="D166" s="16"/>
      <c r="E166" s="8"/>
    </row>
    <row r="167" spans="1:7" x14ac:dyDescent="0.2">
      <c r="C167" s="232"/>
      <c r="D167" s="16"/>
      <c r="E167" s="8"/>
    </row>
    <row r="168" spans="1:7" x14ac:dyDescent="0.2">
      <c r="C168" s="233"/>
      <c r="D168" s="19"/>
      <c r="E168" s="8"/>
      <c r="G168" s="32"/>
    </row>
    <row r="169" spans="1:7" x14ac:dyDescent="0.2">
      <c r="C169" s="231"/>
      <c r="E169" s="8"/>
    </row>
    <row r="170" spans="1:7" x14ac:dyDescent="0.2">
      <c r="C170" s="234"/>
      <c r="D170" s="16"/>
      <c r="E170" s="8"/>
    </row>
    <row r="171" spans="1:7" x14ac:dyDescent="0.2">
      <c r="E171" s="8"/>
    </row>
    <row r="172" spans="1:7" x14ac:dyDescent="0.2">
      <c r="E172" s="8"/>
    </row>
    <row r="173" spans="1:7" x14ac:dyDescent="0.2">
      <c r="E173" s="8"/>
    </row>
    <row r="174" spans="1:7" x14ac:dyDescent="0.2">
      <c r="D174" s="16"/>
      <c r="E174" s="8"/>
    </row>
    <row r="175" spans="1:7" x14ac:dyDescent="0.2">
      <c r="D175" s="16"/>
      <c r="E175" s="8"/>
    </row>
    <row r="176" spans="1:7" x14ac:dyDescent="0.2">
      <c r="E176" s="8"/>
    </row>
    <row r="177" spans="4:5" x14ac:dyDescent="0.2">
      <c r="D177" s="16"/>
      <c r="E177" s="8"/>
    </row>
    <row r="178" spans="4:5" x14ac:dyDescent="0.2">
      <c r="E178" s="8"/>
    </row>
    <row r="179" spans="4:5" x14ac:dyDescent="0.2">
      <c r="E179" s="8"/>
    </row>
    <row r="180" spans="4:5" x14ac:dyDescent="0.2">
      <c r="E180" s="8"/>
    </row>
    <row r="181" spans="4:5" x14ac:dyDescent="0.2">
      <c r="E181" s="8"/>
    </row>
    <row r="182" spans="4:5" x14ac:dyDescent="0.2">
      <c r="E182" s="8"/>
    </row>
    <row r="183" spans="4:5" x14ac:dyDescent="0.2">
      <c r="E183" s="8"/>
    </row>
    <row r="184" spans="4:5" x14ac:dyDescent="0.2">
      <c r="E184" s="8"/>
    </row>
    <row r="185" spans="4:5" x14ac:dyDescent="0.2">
      <c r="E185" s="8"/>
    </row>
    <row r="186" spans="4:5" x14ac:dyDescent="0.2">
      <c r="E186" s="4"/>
    </row>
    <row r="187" spans="4:5" ht="13.5" customHeight="1" x14ac:dyDescent="0.2"/>
  </sheetData>
  <mergeCells count="3">
    <mergeCell ref="A5:D5"/>
    <mergeCell ref="C1:D1"/>
    <mergeCell ref="C2:D2"/>
  </mergeCells>
  <pageMargins left="0.70866141732283472" right="0" top="0.74803149606299213" bottom="0.35433070866141736" header="0.31496062992125984" footer="0.31496062992125984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DC3794-2E2A-466F-9853-B1C217B835E9}">
  <dimension ref="A1:M48"/>
  <sheetViews>
    <sheetView zoomScaleNormal="100" workbookViewId="0">
      <selection activeCell="D3" sqref="D3"/>
    </sheetView>
  </sheetViews>
  <sheetFormatPr defaultColWidth="9.140625" defaultRowHeight="12.75" x14ac:dyDescent="0.2"/>
  <cols>
    <col min="1" max="1" width="5.85546875" style="11" customWidth="1"/>
    <col min="2" max="2" width="7.42578125" style="13" customWidth="1"/>
    <col min="3" max="3" width="70" style="22" customWidth="1"/>
    <col min="4" max="4" width="9.7109375" style="11" customWidth="1"/>
    <col min="5" max="6" width="9.28515625" style="1" customWidth="1"/>
    <col min="7" max="16384" width="9.140625" style="1"/>
  </cols>
  <sheetData>
    <row r="1" spans="1:13" ht="15.75" x14ac:dyDescent="0.25">
      <c r="C1" s="264" t="s">
        <v>598</v>
      </c>
      <c r="D1" s="264"/>
    </row>
    <row r="2" spans="1:13" ht="15.75" x14ac:dyDescent="0.25">
      <c r="C2" s="264" t="s">
        <v>794</v>
      </c>
      <c r="D2" s="264"/>
    </row>
    <row r="3" spans="1:13" ht="15.75" x14ac:dyDescent="0.25">
      <c r="C3" s="33"/>
      <c r="D3" s="14" t="s">
        <v>599</v>
      </c>
    </row>
    <row r="4" spans="1:13" ht="15.75" x14ac:dyDescent="0.2">
      <c r="D4" s="14"/>
    </row>
    <row r="5" spans="1:13" ht="31.5" customHeight="1" x14ac:dyDescent="0.2">
      <c r="A5" s="266" t="s">
        <v>600</v>
      </c>
      <c r="B5" s="266"/>
      <c r="C5" s="266"/>
      <c r="D5" s="266"/>
    </row>
    <row r="6" spans="1:13" x14ac:dyDescent="0.2">
      <c r="A6" s="7"/>
      <c r="B6" s="7"/>
      <c r="C6" s="7"/>
      <c r="D6" s="7"/>
    </row>
    <row r="7" spans="1:13" x14ac:dyDescent="0.2">
      <c r="A7" s="23"/>
      <c r="B7" s="210"/>
      <c r="C7" s="211"/>
      <c r="D7" s="81" t="s">
        <v>71</v>
      </c>
    </row>
    <row r="8" spans="1:13" ht="43.5" customHeight="1" x14ac:dyDescent="0.2">
      <c r="A8" s="63" t="s">
        <v>68</v>
      </c>
      <c r="B8" s="82" t="s">
        <v>186</v>
      </c>
      <c r="C8" s="63" t="s">
        <v>16</v>
      </c>
      <c r="D8" s="63" t="s">
        <v>17</v>
      </c>
      <c r="E8" s="3"/>
      <c r="F8" s="3"/>
      <c r="M8" s="10"/>
    </row>
    <row r="9" spans="1:13" s="10" customFormat="1" ht="12.75" customHeight="1" x14ac:dyDescent="0.2">
      <c r="A9" s="83">
        <v>1</v>
      </c>
      <c r="B9" s="84" t="s">
        <v>18</v>
      </c>
      <c r="C9" s="63">
        <v>3</v>
      </c>
      <c r="D9" s="63">
        <v>4</v>
      </c>
      <c r="E9" s="3"/>
      <c r="F9" s="3"/>
    </row>
    <row r="10" spans="1:13" s="10" customFormat="1" ht="18" customHeight="1" x14ac:dyDescent="0.2">
      <c r="A10" s="85">
        <v>1</v>
      </c>
      <c r="B10" s="84" t="s">
        <v>47</v>
      </c>
      <c r="C10" s="86" t="s">
        <v>48</v>
      </c>
      <c r="D10" s="87">
        <f>+D11</f>
        <v>315</v>
      </c>
      <c r="E10" s="3"/>
      <c r="F10" s="3"/>
      <c r="G10" s="235"/>
      <c r="H10" s="8"/>
      <c r="I10" s="8"/>
      <c r="J10" s="8"/>
    </row>
    <row r="11" spans="1:13" s="10" customFormat="1" ht="12.75" customHeight="1" x14ac:dyDescent="0.2">
      <c r="A11" s="85">
        <v>2</v>
      </c>
      <c r="B11" s="82"/>
      <c r="C11" s="93" t="s">
        <v>92</v>
      </c>
      <c r="D11" s="68">
        <f>+D12</f>
        <v>315</v>
      </c>
      <c r="E11" s="3"/>
      <c r="F11" s="3"/>
      <c r="G11" s="235"/>
      <c r="H11" s="8"/>
      <c r="I11" s="8"/>
      <c r="J11" s="8"/>
    </row>
    <row r="12" spans="1:13" s="10" customFormat="1" x14ac:dyDescent="0.2">
      <c r="A12" s="85" t="s">
        <v>578</v>
      </c>
      <c r="B12" s="82"/>
      <c r="C12" s="205" t="s">
        <v>583</v>
      </c>
      <c r="D12" s="94">
        <v>315</v>
      </c>
      <c r="E12" s="3"/>
      <c r="F12" s="3"/>
      <c r="G12" s="235"/>
      <c r="H12" s="8"/>
      <c r="I12" s="8"/>
      <c r="J12" s="8"/>
    </row>
    <row r="13" spans="1:13" s="10" customFormat="1" x14ac:dyDescent="0.2">
      <c r="A13" s="85">
        <v>3</v>
      </c>
      <c r="B13" s="84" t="s">
        <v>49</v>
      </c>
      <c r="C13" s="98" t="s">
        <v>50</v>
      </c>
      <c r="D13" s="193">
        <f>+D17+D14</f>
        <v>109.6</v>
      </c>
      <c r="E13" s="3"/>
      <c r="F13" s="3"/>
      <c r="G13" s="235"/>
      <c r="H13" s="8"/>
      <c r="I13" s="8"/>
      <c r="J13" s="8"/>
    </row>
    <row r="14" spans="1:13" s="10" customFormat="1" x14ac:dyDescent="0.2">
      <c r="A14" s="85">
        <v>4</v>
      </c>
      <c r="B14" s="84"/>
      <c r="C14" s="70" t="s">
        <v>90</v>
      </c>
      <c r="D14" s="94">
        <f>+D15+D16</f>
        <v>44.199999999999996</v>
      </c>
      <c r="E14" s="3"/>
      <c r="F14" s="3"/>
      <c r="G14" s="235"/>
      <c r="H14" s="8"/>
      <c r="I14" s="8"/>
      <c r="J14" s="8"/>
    </row>
    <row r="15" spans="1:13" s="10" customFormat="1" ht="25.5" x14ac:dyDescent="0.2">
      <c r="A15" s="85" t="s">
        <v>588</v>
      </c>
      <c r="B15" s="84"/>
      <c r="C15" s="236" t="s">
        <v>798</v>
      </c>
      <c r="D15" s="94">
        <v>2.8</v>
      </c>
      <c r="E15" s="3"/>
      <c r="F15" s="3"/>
      <c r="G15" s="235"/>
      <c r="H15" s="8"/>
      <c r="I15" s="8"/>
      <c r="J15" s="8"/>
    </row>
    <row r="16" spans="1:13" s="10" customFormat="1" ht="38.25" x14ac:dyDescent="0.2">
      <c r="A16" s="85" t="s">
        <v>651</v>
      </c>
      <c r="B16" s="84"/>
      <c r="C16" s="236" t="s">
        <v>652</v>
      </c>
      <c r="D16" s="94">
        <v>41.4</v>
      </c>
      <c r="E16" s="3"/>
      <c r="F16" s="3"/>
      <c r="G16" s="235"/>
      <c r="H16" s="8"/>
      <c r="I16" s="8"/>
      <c r="J16" s="8"/>
    </row>
    <row r="17" spans="1:10" s="10" customFormat="1" x14ac:dyDescent="0.2">
      <c r="A17" s="85">
        <v>5</v>
      </c>
      <c r="B17" s="88"/>
      <c r="C17" s="190" t="s">
        <v>92</v>
      </c>
      <c r="D17" s="94">
        <f>+D18+D19</f>
        <v>65.400000000000006</v>
      </c>
      <c r="E17" s="3"/>
      <c r="F17" s="3"/>
      <c r="G17" s="235"/>
      <c r="H17" s="8"/>
      <c r="I17" s="8"/>
      <c r="J17" s="8"/>
    </row>
    <row r="18" spans="1:10" s="10" customFormat="1" x14ac:dyDescent="0.2">
      <c r="A18" s="85" t="s">
        <v>635</v>
      </c>
      <c r="B18" s="88"/>
      <c r="C18" s="96" t="s">
        <v>589</v>
      </c>
      <c r="D18" s="94">
        <v>3.5</v>
      </c>
      <c r="E18" s="3"/>
      <c r="F18" s="3"/>
      <c r="G18" s="235"/>
      <c r="H18" s="8"/>
      <c r="I18" s="8"/>
      <c r="J18" s="8"/>
    </row>
    <row r="19" spans="1:10" s="10" customFormat="1" ht="25.5" x14ac:dyDescent="0.2">
      <c r="A19" s="85" t="s">
        <v>636</v>
      </c>
      <c r="B19" s="88"/>
      <c r="C19" s="96" t="s">
        <v>799</v>
      </c>
      <c r="D19" s="94">
        <v>61.9</v>
      </c>
      <c r="E19" s="3"/>
      <c r="F19" s="3"/>
      <c r="G19" s="235"/>
      <c r="H19" s="8"/>
      <c r="I19" s="8"/>
      <c r="J19" s="8"/>
    </row>
    <row r="20" spans="1:10" s="10" customFormat="1" x14ac:dyDescent="0.2">
      <c r="A20" s="85">
        <v>6</v>
      </c>
      <c r="B20" s="84" t="s">
        <v>21</v>
      </c>
      <c r="C20" s="98" t="s">
        <v>22</v>
      </c>
      <c r="D20" s="193">
        <f>+D21</f>
        <v>31.4</v>
      </c>
      <c r="E20" s="3"/>
      <c r="F20" s="3"/>
      <c r="G20" s="235"/>
      <c r="H20" s="8"/>
      <c r="I20" s="8"/>
      <c r="J20" s="8"/>
    </row>
    <row r="21" spans="1:10" s="10" customFormat="1" x14ac:dyDescent="0.2">
      <c r="A21" s="192" t="s">
        <v>593</v>
      </c>
      <c r="B21" s="84"/>
      <c r="C21" s="76" t="s">
        <v>1</v>
      </c>
      <c r="D21" s="94">
        <f>+D22</f>
        <v>31.4</v>
      </c>
      <c r="E21" s="3"/>
      <c r="F21" s="3"/>
      <c r="G21" s="235"/>
      <c r="H21" s="8"/>
      <c r="I21" s="8"/>
      <c r="J21" s="8"/>
    </row>
    <row r="22" spans="1:10" s="10" customFormat="1" x14ac:dyDescent="0.2">
      <c r="A22" s="192" t="s">
        <v>637</v>
      </c>
      <c r="B22" s="84"/>
      <c r="C22" s="70" t="s">
        <v>638</v>
      </c>
      <c r="D22" s="94">
        <v>31.4</v>
      </c>
      <c r="E22" s="3"/>
      <c r="F22" s="3"/>
      <c r="G22" s="235"/>
      <c r="H22" s="8"/>
      <c r="I22" s="8"/>
      <c r="J22" s="8"/>
    </row>
    <row r="23" spans="1:10" x14ac:dyDescent="0.2">
      <c r="A23" s="192" t="s">
        <v>594</v>
      </c>
      <c r="B23" s="84" t="s">
        <v>26</v>
      </c>
      <c r="C23" s="98" t="s">
        <v>27</v>
      </c>
      <c r="D23" s="193">
        <f>+D24</f>
        <v>16.5</v>
      </c>
      <c r="E23" s="3"/>
      <c r="F23" s="3"/>
      <c r="G23" s="235"/>
      <c r="H23" s="8"/>
      <c r="I23" s="8"/>
      <c r="J23" s="8"/>
    </row>
    <row r="24" spans="1:10" x14ac:dyDescent="0.2">
      <c r="A24" s="192" t="s">
        <v>643</v>
      </c>
      <c r="B24" s="88"/>
      <c r="C24" s="190" t="s">
        <v>92</v>
      </c>
      <c r="D24" s="94">
        <f>+D25</f>
        <v>16.5</v>
      </c>
      <c r="E24" s="3"/>
      <c r="F24" s="3"/>
      <c r="G24" s="235"/>
      <c r="H24" s="8"/>
      <c r="I24" s="8"/>
      <c r="J24" s="8"/>
    </row>
    <row r="25" spans="1:10" ht="25.5" x14ac:dyDescent="0.2">
      <c r="A25" s="85" t="s">
        <v>644</v>
      </c>
      <c r="B25" s="88"/>
      <c r="C25" s="195" t="s">
        <v>596</v>
      </c>
      <c r="D25" s="44">
        <v>16.5</v>
      </c>
      <c r="E25" s="3"/>
      <c r="F25" s="3"/>
      <c r="G25" s="235"/>
      <c r="H25" s="8"/>
      <c r="I25" s="8"/>
      <c r="J25" s="8"/>
    </row>
    <row r="26" spans="1:10" ht="12.75" customHeight="1" x14ac:dyDescent="0.2">
      <c r="A26" s="85">
        <v>10</v>
      </c>
      <c r="B26" s="84"/>
      <c r="C26" s="179" t="s">
        <v>20</v>
      </c>
      <c r="D26" s="79">
        <f>+D10+D13+D20+D23</f>
        <v>472.5</v>
      </c>
      <c r="E26" s="4"/>
      <c r="F26" s="4"/>
      <c r="G26" s="3"/>
      <c r="H26" s="3"/>
      <c r="I26" s="3"/>
      <c r="J26" s="3"/>
    </row>
    <row r="27" spans="1:10" x14ac:dyDescent="0.2">
      <c r="A27" s="24"/>
      <c r="C27" s="22" t="s">
        <v>66</v>
      </c>
      <c r="D27" s="19"/>
    </row>
    <row r="28" spans="1:10" x14ac:dyDescent="0.2">
      <c r="C28" s="11"/>
      <c r="D28" s="19"/>
      <c r="I28" s="3"/>
    </row>
    <row r="29" spans="1:10" x14ac:dyDescent="0.2">
      <c r="C29" s="11"/>
      <c r="D29" s="19"/>
      <c r="I29" s="3"/>
    </row>
    <row r="30" spans="1:10" x14ac:dyDescent="0.2">
      <c r="C30" s="11"/>
      <c r="D30" s="17"/>
    </row>
    <row r="31" spans="1:10" x14ac:dyDescent="0.2">
      <c r="C31" s="24"/>
      <c r="D31" s="17"/>
    </row>
    <row r="32" spans="1:10" x14ac:dyDescent="0.2">
      <c r="C32" s="11"/>
      <c r="D32" s="17"/>
    </row>
    <row r="33" spans="3:5" x14ac:dyDescent="0.2">
      <c r="C33" s="237"/>
      <c r="D33" s="17"/>
      <c r="E33" s="3"/>
    </row>
    <row r="34" spans="3:5" x14ac:dyDescent="0.2">
      <c r="C34" s="24"/>
      <c r="D34" s="17"/>
    </row>
    <row r="35" spans="3:5" x14ac:dyDescent="0.2">
      <c r="C35" s="24"/>
      <c r="D35" s="19"/>
    </row>
    <row r="36" spans="3:5" x14ac:dyDescent="0.2">
      <c r="C36" s="24"/>
      <c r="D36" s="17"/>
    </row>
    <row r="37" spans="3:5" x14ac:dyDescent="0.2">
      <c r="D37" s="17"/>
    </row>
    <row r="38" spans="3:5" x14ac:dyDescent="0.2">
      <c r="D38" s="17"/>
    </row>
    <row r="39" spans="3:5" x14ac:dyDescent="0.2">
      <c r="C39" s="24"/>
      <c r="D39" s="17"/>
    </row>
    <row r="40" spans="3:5" x14ac:dyDescent="0.2">
      <c r="C40" s="24"/>
      <c r="D40" s="17"/>
    </row>
    <row r="41" spans="3:5" x14ac:dyDescent="0.2">
      <c r="C41" s="24"/>
      <c r="D41" s="2"/>
    </row>
    <row r="42" spans="3:5" x14ac:dyDescent="0.2">
      <c r="C42" s="24"/>
      <c r="D42" s="2"/>
    </row>
    <row r="43" spans="3:5" x14ac:dyDescent="0.2">
      <c r="C43" s="197"/>
    </row>
    <row r="44" spans="3:5" x14ac:dyDescent="0.2">
      <c r="C44" s="198"/>
    </row>
    <row r="45" spans="3:5" x14ac:dyDescent="0.2">
      <c r="C45" s="24"/>
    </row>
    <row r="46" spans="3:5" x14ac:dyDescent="0.2">
      <c r="C46" s="234"/>
    </row>
    <row r="48" spans="3:5" x14ac:dyDescent="0.2">
      <c r="C48" s="24"/>
    </row>
  </sheetData>
  <mergeCells count="3">
    <mergeCell ref="C1:D1"/>
    <mergeCell ref="C2:D2"/>
    <mergeCell ref="A5:D5"/>
  </mergeCells>
  <pageMargins left="0.70866141732283472" right="0" top="0.74803149606299213" bottom="0.74803149606299213" header="0.31496062992125984" footer="0.31496062992125984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DAC0DC-6FC8-423E-9660-0930B6E9384B}">
  <dimension ref="B1:Q98"/>
  <sheetViews>
    <sheetView workbookViewId="0">
      <selection activeCell="C3" sqref="C3:D3"/>
    </sheetView>
  </sheetViews>
  <sheetFormatPr defaultColWidth="9.140625" defaultRowHeight="15.75" x14ac:dyDescent="0.25"/>
  <cols>
    <col min="1" max="1" width="5.28515625" style="62" customWidth="1"/>
    <col min="2" max="2" width="10.140625" style="181" customWidth="1"/>
    <col min="3" max="3" width="65.140625" style="181" customWidth="1"/>
    <col min="4" max="4" width="11.5703125" style="241" customWidth="1"/>
    <col min="5" max="5" width="9.140625" style="62"/>
    <col min="6" max="6" width="81.42578125" style="62" customWidth="1"/>
    <col min="7" max="14" width="9.140625" style="62"/>
    <col min="15" max="15" width="8.42578125" style="62" customWidth="1"/>
    <col min="16" max="17" width="9.140625" style="62" hidden="1" customWidth="1"/>
    <col min="18" max="16384" width="9.140625" style="62"/>
  </cols>
  <sheetData>
    <row r="1" spans="2:5" x14ac:dyDescent="0.25">
      <c r="B1" s="1"/>
      <c r="C1" s="301" t="s">
        <v>653</v>
      </c>
      <c r="D1" s="301"/>
      <c r="E1" s="1"/>
    </row>
    <row r="2" spans="2:5" x14ac:dyDescent="0.25">
      <c r="B2" s="1"/>
      <c r="C2" s="261" t="s">
        <v>795</v>
      </c>
      <c r="D2" s="261"/>
      <c r="E2" s="1"/>
    </row>
    <row r="3" spans="2:5" x14ac:dyDescent="0.25">
      <c r="B3" s="1"/>
      <c r="C3" s="262" t="s">
        <v>654</v>
      </c>
      <c r="D3" s="262"/>
      <c r="E3" s="1"/>
    </row>
    <row r="4" spans="2:5" x14ac:dyDescent="0.25">
      <c r="B4" s="1"/>
      <c r="C4" s="14"/>
      <c r="D4" s="14"/>
      <c r="E4" s="1"/>
    </row>
    <row r="5" spans="2:5" s="1" customFormat="1" ht="12" customHeight="1" x14ac:dyDescent="0.2">
      <c r="B5" s="302"/>
      <c r="C5" s="302"/>
      <c r="D5" s="302"/>
    </row>
    <row r="6" spans="2:5" s="1" customFormat="1" ht="12.75" customHeight="1" x14ac:dyDescent="0.2">
      <c r="B6" s="303"/>
      <c r="C6" s="303"/>
      <c r="D6" s="303"/>
    </row>
    <row r="7" spans="2:5" ht="11.25" customHeight="1" x14ac:dyDescent="0.25">
      <c r="B7" s="1"/>
      <c r="C7" s="1"/>
      <c r="D7" s="1"/>
      <c r="E7" s="238"/>
    </row>
    <row r="8" spans="2:5" s="105" customFormat="1" ht="12.75" x14ac:dyDescent="0.2">
      <c r="B8" s="239" t="s">
        <v>655</v>
      </c>
      <c r="C8" s="2"/>
      <c r="D8" s="17"/>
    </row>
    <row r="9" spans="2:5" s="1" customFormat="1" ht="12.6" customHeight="1" x14ac:dyDescent="0.2">
      <c r="B9" s="239" t="s">
        <v>656</v>
      </c>
      <c r="C9" s="2"/>
      <c r="D9" s="17"/>
    </row>
    <row r="10" spans="2:5" s="1" customFormat="1" ht="16.5" customHeight="1" x14ac:dyDescent="0.2">
      <c r="B10" s="240"/>
      <c r="C10" s="181"/>
      <c r="D10" s="241"/>
    </row>
    <row r="11" spans="2:5" s="1" customFormat="1" ht="25.5" x14ac:dyDescent="0.2">
      <c r="B11" s="242" t="s">
        <v>0</v>
      </c>
      <c r="C11" s="242" t="s">
        <v>657</v>
      </c>
      <c r="D11" s="243" t="s">
        <v>658</v>
      </c>
    </row>
    <row r="12" spans="2:5" s="1" customFormat="1" ht="12.6" customHeight="1" x14ac:dyDescent="0.2">
      <c r="B12" s="93" t="s">
        <v>659</v>
      </c>
      <c r="C12" s="93" t="s">
        <v>660</v>
      </c>
      <c r="D12" s="68">
        <v>350</v>
      </c>
    </row>
    <row r="13" spans="2:5" s="105" customFormat="1" ht="12.6" customHeight="1" x14ac:dyDescent="0.2">
      <c r="B13" s="93" t="s">
        <v>661</v>
      </c>
      <c r="C13" s="93" t="s">
        <v>94</v>
      </c>
      <c r="D13" s="68">
        <v>60</v>
      </c>
    </row>
    <row r="14" spans="2:5" s="1" customFormat="1" ht="12.6" hidden="1" customHeight="1" x14ac:dyDescent="0.2">
      <c r="B14" s="93" t="s">
        <v>662</v>
      </c>
      <c r="C14" s="93" t="s">
        <v>663</v>
      </c>
      <c r="D14" s="68">
        <v>0</v>
      </c>
    </row>
    <row r="15" spans="2:5" s="1" customFormat="1" ht="12.6" hidden="1" customHeight="1" x14ac:dyDescent="0.2">
      <c r="B15" s="93" t="s">
        <v>664</v>
      </c>
      <c r="C15" s="93" t="s">
        <v>665</v>
      </c>
      <c r="D15" s="68">
        <v>0</v>
      </c>
    </row>
    <row r="16" spans="2:5" s="105" customFormat="1" ht="12.6" customHeight="1" x14ac:dyDescent="0.2">
      <c r="B16" s="242" t="s">
        <v>662</v>
      </c>
      <c r="C16" s="242" t="s">
        <v>666</v>
      </c>
      <c r="D16" s="244">
        <f>+D12+D13</f>
        <v>410</v>
      </c>
    </row>
    <row r="17" spans="2:7" s="105" customFormat="1" ht="12.6" customHeight="1" x14ac:dyDescent="0.2">
      <c r="B17" s="93" t="s">
        <v>664</v>
      </c>
      <c r="C17" s="93" t="s">
        <v>667</v>
      </c>
      <c r="D17" s="68">
        <v>50</v>
      </c>
      <c r="E17" s="118"/>
      <c r="F17" s="47"/>
    </row>
    <row r="18" spans="2:7" s="1" customFormat="1" ht="12.75" x14ac:dyDescent="0.2">
      <c r="B18" s="93" t="s">
        <v>668</v>
      </c>
      <c r="C18" s="93" t="s">
        <v>669</v>
      </c>
      <c r="D18" s="68">
        <v>12.3</v>
      </c>
      <c r="E18" s="109"/>
      <c r="F18" s="32"/>
    </row>
    <row r="19" spans="2:7" s="105" customFormat="1" ht="12.75" x14ac:dyDescent="0.2">
      <c r="B19" s="242" t="s">
        <v>670</v>
      </c>
      <c r="C19" s="242" t="s">
        <v>671</v>
      </c>
      <c r="D19" s="244">
        <f>+D17+D18</f>
        <v>62.3</v>
      </c>
      <c r="E19" s="118"/>
      <c r="F19" s="47"/>
    </row>
    <row r="20" spans="2:7" s="1" customFormat="1" ht="12.75" x14ac:dyDescent="0.2">
      <c r="B20" s="242" t="s">
        <v>672</v>
      </c>
      <c r="C20" s="242" t="s">
        <v>673</v>
      </c>
      <c r="D20" s="244">
        <f>+D16+D19</f>
        <v>472.3</v>
      </c>
      <c r="E20" s="155"/>
      <c r="F20" s="32"/>
    </row>
    <row r="21" spans="2:7" s="1" customFormat="1" ht="16.899999999999999" customHeight="1" x14ac:dyDescent="0.2">
      <c r="B21" s="245"/>
      <c r="C21" s="246"/>
      <c r="D21" s="247"/>
      <c r="E21" s="155"/>
      <c r="F21" s="32"/>
    </row>
    <row r="22" spans="2:7" s="105" customFormat="1" ht="25.5" x14ac:dyDescent="0.2">
      <c r="B22" s="242" t="s">
        <v>0</v>
      </c>
      <c r="C22" s="242" t="s">
        <v>674</v>
      </c>
      <c r="D22" s="243" t="s">
        <v>675</v>
      </c>
      <c r="E22" s="109"/>
    </row>
    <row r="23" spans="2:7" s="1" customFormat="1" ht="44.25" customHeight="1" x14ac:dyDescent="0.2">
      <c r="B23" s="93" t="s">
        <v>676</v>
      </c>
      <c r="C23" s="93" t="s">
        <v>677</v>
      </c>
      <c r="D23" s="68">
        <v>82</v>
      </c>
      <c r="E23" s="109"/>
    </row>
    <row r="24" spans="2:7" s="105" customFormat="1" ht="12.75" x14ac:dyDescent="0.2">
      <c r="B24" s="93" t="s">
        <v>678</v>
      </c>
      <c r="C24" s="93" t="s">
        <v>669</v>
      </c>
      <c r="D24" s="68">
        <v>54.8</v>
      </c>
      <c r="E24" s="118"/>
    </row>
    <row r="25" spans="2:7" s="1" customFormat="1" ht="12.75" x14ac:dyDescent="0.2">
      <c r="B25" s="242" t="s">
        <v>679</v>
      </c>
      <c r="C25" s="242" t="s">
        <v>680</v>
      </c>
      <c r="D25" s="244">
        <f>+D23+D24</f>
        <v>136.80000000000001</v>
      </c>
      <c r="E25" s="118"/>
    </row>
    <row r="26" spans="2:7" s="1" customFormat="1" ht="16.149999999999999" customHeight="1" x14ac:dyDescent="0.2">
      <c r="B26" s="245"/>
      <c r="C26" s="246"/>
      <c r="D26" s="247"/>
      <c r="G26" s="32"/>
    </row>
    <row r="27" spans="2:7" s="105" customFormat="1" ht="25.5" x14ac:dyDescent="0.2">
      <c r="B27" s="242" t="s">
        <v>0</v>
      </c>
      <c r="C27" s="242" t="s">
        <v>681</v>
      </c>
      <c r="D27" s="243" t="s">
        <v>675</v>
      </c>
    </row>
    <row r="28" spans="2:7" s="1" customFormat="1" ht="45" customHeight="1" x14ac:dyDescent="0.2">
      <c r="B28" s="93" t="s">
        <v>682</v>
      </c>
      <c r="C28" s="93" t="s">
        <v>683</v>
      </c>
      <c r="D28" s="68">
        <v>328</v>
      </c>
    </row>
    <row r="29" spans="2:7" s="105" customFormat="1" ht="12.75" x14ac:dyDescent="0.2">
      <c r="B29" s="93" t="s">
        <v>684</v>
      </c>
      <c r="C29" s="93" t="s">
        <v>669</v>
      </c>
      <c r="D29" s="68">
        <v>254.1</v>
      </c>
      <c r="E29" s="109"/>
    </row>
    <row r="30" spans="2:7" s="1" customFormat="1" ht="12.75" x14ac:dyDescent="0.2">
      <c r="B30" s="242" t="s">
        <v>685</v>
      </c>
      <c r="C30" s="242" t="s">
        <v>686</v>
      </c>
      <c r="D30" s="244">
        <f>+D28+D29</f>
        <v>582.1</v>
      </c>
      <c r="E30" s="109"/>
    </row>
    <row r="31" spans="2:7" s="1" customFormat="1" ht="16.149999999999999" customHeight="1" x14ac:dyDescent="0.2">
      <c r="B31" s="248"/>
      <c r="C31" s="249"/>
      <c r="D31" s="250"/>
      <c r="E31" s="109"/>
    </row>
    <row r="32" spans="2:7" s="1" customFormat="1" ht="26.1" customHeight="1" x14ac:dyDescent="0.2">
      <c r="B32" s="242" t="s">
        <v>0</v>
      </c>
      <c r="C32" s="242" t="s">
        <v>687</v>
      </c>
      <c r="D32" s="243" t="s">
        <v>675</v>
      </c>
      <c r="E32" s="109"/>
    </row>
    <row r="33" spans="2:5" s="1" customFormat="1" ht="38.25" x14ac:dyDescent="0.2">
      <c r="B33" s="93" t="s">
        <v>688</v>
      </c>
      <c r="C33" s="93" t="s">
        <v>689</v>
      </c>
      <c r="D33" s="68">
        <v>61.8</v>
      </c>
      <c r="E33" s="109"/>
    </row>
    <row r="34" spans="2:5" s="1" customFormat="1" ht="38.25" x14ac:dyDescent="0.2">
      <c r="B34" s="93" t="s">
        <v>690</v>
      </c>
      <c r="C34" s="93" t="s">
        <v>691</v>
      </c>
      <c r="D34" s="68">
        <v>61.3</v>
      </c>
      <c r="E34" s="109"/>
    </row>
    <row r="35" spans="2:5" s="1" customFormat="1" ht="25.5" x14ac:dyDescent="0.2">
      <c r="B35" s="93" t="s">
        <v>692</v>
      </c>
      <c r="C35" s="93" t="s">
        <v>693</v>
      </c>
      <c r="D35" s="68">
        <v>0.5</v>
      </c>
      <c r="E35" s="109"/>
    </row>
    <row r="36" spans="2:5" s="1" customFormat="1" ht="38.25" x14ac:dyDescent="0.2">
      <c r="B36" s="93" t="s">
        <v>694</v>
      </c>
      <c r="C36" s="93" t="s">
        <v>695</v>
      </c>
      <c r="D36" s="68">
        <v>0.5</v>
      </c>
      <c r="E36" s="109"/>
    </row>
    <row r="37" spans="2:5" s="1" customFormat="1" ht="12.75" x14ac:dyDescent="0.2">
      <c r="B37" s="242"/>
      <c r="C37" s="242" t="s">
        <v>696</v>
      </c>
      <c r="D37" s="251">
        <f>+D33+D36</f>
        <v>62.3</v>
      </c>
      <c r="E37" s="109"/>
    </row>
    <row r="38" spans="2:5" s="1" customFormat="1" ht="16.5" customHeight="1" x14ac:dyDescent="0.2">
      <c r="B38" s="252"/>
      <c r="C38" s="252"/>
      <c r="D38" s="253"/>
    </row>
    <row r="39" spans="2:5" s="1" customFormat="1" ht="16.149999999999999" customHeight="1" x14ac:dyDescent="0.2">
      <c r="B39" s="298" t="s">
        <v>697</v>
      </c>
      <c r="C39" s="298"/>
      <c r="D39" s="298"/>
    </row>
    <row r="40" spans="2:5" s="1" customFormat="1" ht="25.5" customHeight="1" x14ac:dyDescent="0.2">
      <c r="B40" s="299" t="s">
        <v>698</v>
      </c>
      <c r="C40" s="299"/>
      <c r="D40" s="243" t="s">
        <v>699</v>
      </c>
    </row>
    <row r="41" spans="2:5" s="1" customFormat="1" ht="12.6" customHeight="1" x14ac:dyDescent="0.2">
      <c r="B41" s="300" t="s">
        <v>700</v>
      </c>
      <c r="C41" s="300"/>
      <c r="D41" s="68">
        <v>136.80000000000001</v>
      </c>
      <c r="E41" s="3"/>
    </row>
    <row r="42" spans="2:5" s="1" customFormat="1" ht="8.25" customHeight="1" x14ac:dyDescent="0.2">
      <c r="B42" s="246"/>
      <c r="C42" s="246"/>
      <c r="D42" s="254"/>
    </row>
    <row r="43" spans="2:5" s="1" customFormat="1" ht="8.25" customHeight="1" x14ac:dyDescent="0.2">
      <c r="B43" s="246"/>
      <c r="C43" s="246"/>
      <c r="D43" s="254"/>
    </row>
    <row r="44" spans="2:5" s="1" customFormat="1" ht="12.6" customHeight="1" x14ac:dyDescent="0.2">
      <c r="B44" s="298" t="s">
        <v>701</v>
      </c>
      <c r="C44" s="298"/>
      <c r="D44" s="298"/>
    </row>
    <row r="45" spans="2:5" s="1" customFormat="1" ht="9" customHeight="1" x14ac:dyDescent="0.2">
      <c r="B45" s="246"/>
      <c r="C45" s="246"/>
      <c r="D45" s="255"/>
    </row>
    <row r="46" spans="2:5" s="1" customFormat="1" ht="24" customHeight="1" x14ac:dyDescent="0.2">
      <c r="B46" s="242" t="s">
        <v>0</v>
      </c>
      <c r="C46" s="242" t="s">
        <v>687</v>
      </c>
      <c r="D46" s="243" t="s">
        <v>702</v>
      </c>
    </row>
    <row r="47" spans="2:5" s="1" customFormat="1" ht="12.6" customHeight="1" x14ac:dyDescent="0.2">
      <c r="B47" s="93" t="s">
        <v>703</v>
      </c>
      <c r="C47" s="93" t="s">
        <v>704</v>
      </c>
      <c r="D47" s="68">
        <f>+D48+D58+D59+D60</f>
        <v>226.5</v>
      </c>
    </row>
    <row r="48" spans="2:5" s="1" customFormat="1" ht="12.6" customHeight="1" x14ac:dyDescent="0.2">
      <c r="B48" s="93" t="s">
        <v>705</v>
      </c>
      <c r="C48" s="93" t="s">
        <v>706</v>
      </c>
      <c r="D48" s="68">
        <v>24.7</v>
      </c>
    </row>
    <row r="49" spans="2:6" s="1" customFormat="1" ht="12.6" customHeight="1" x14ac:dyDescent="0.2">
      <c r="B49" s="93" t="s">
        <v>707</v>
      </c>
      <c r="C49" s="93" t="s">
        <v>708</v>
      </c>
      <c r="D49" s="68">
        <v>5</v>
      </c>
      <c r="E49" s="3"/>
    </row>
    <row r="50" spans="2:6" s="1" customFormat="1" ht="12.6" customHeight="1" x14ac:dyDescent="0.2">
      <c r="B50" s="93" t="s">
        <v>709</v>
      </c>
      <c r="C50" s="93" t="s">
        <v>710</v>
      </c>
      <c r="D50" s="68">
        <v>0.6</v>
      </c>
    </row>
    <row r="51" spans="2:6" s="1" customFormat="1" ht="12.6" customHeight="1" x14ac:dyDescent="0.2">
      <c r="B51" s="93" t="s">
        <v>711</v>
      </c>
      <c r="C51" s="93" t="s">
        <v>712</v>
      </c>
      <c r="D51" s="68">
        <v>0.9</v>
      </c>
    </row>
    <row r="52" spans="2:6" s="1" customFormat="1" ht="12.6" customHeight="1" x14ac:dyDescent="0.2">
      <c r="B52" s="93" t="s">
        <v>713</v>
      </c>
      <c r="C52" s="93" t="s">
        <v>714</v>
      </c>
      <c r="D52" s="68">
        <v>3</v>
      </c>
      <c r="E52" s="3"/>
    </row>
    <row r="53" spans="2:6" s="1" customFormat="1" ht="12.6" customHeight="1" x14ac:dyDescent="0.2">
      <c r="B53" s="93" t="s">
        <v>715</v>
      </c>
      <c r="C53" s="93" t="s">
        <v>716</v>
      </c>
      <c r="D53" s="68">
        <v>9</v>
      </c>
      <c r="E53" s="3"/>
    </row>
    <row r="54" spans="2:6" s="1" customFormat="1" ht="12.6" customHeight="1" x14ac:dyDescent="0.2">
      <c r="B54" s="93" t="s">
        <v>717</v>
      </c>
      <c r="C54" s="93" t="s">
        <v>718</v>
      </c>
      <c r="D54" s="68">
        <v>2.5</v>
      </c>
    </row>
    <row r="55" spans="2:6" s="1" customFormat="1" ht="12.6" customHeight="1" x14ac:dyDescent="0.2">
      <c r="B55" s="93" t="s">
        <v>719</v>
      </c>
      <c r="C55" s="93" t="s">
        <v>720</v>
      </c>
      <c r="D55" s="68">
        <v>3</v>
      </c>
      <c r="E55" s="17"/>
    </row>
    <row r="56" spans="2:6" s="1" customFormat="1" ht="12.6" customHeight="1" x14ac:dyDescent="0.2">
      <c r="B56" s="93" t="s">
        <v>721</v>
      </c>
      <c r="C56" s="93" t="s">
        <v>722</v>
      </c>
      <c r="D56" s="68">
        <v>0.5</v>
      </c>
    </row>
    <row r="57" spans="2:6" s="1" customFormat="1" ht="12.6" customHeight="1" x14ac:dyDescent="0.2">
      <c r="B57" s="93" t="s">
        <v>723</v>
      </c>
      <c r="C57" s="93" t="s">
        <v>724</v>
      </c>
      <c r="D57" s="68">
        <v>0.2</v>
      </c>
    </row>
    <row r="58" spans="2:6" s="1" customFormat="1" ht="12.6" customHeight="1" x14ac:dyDescent="0.2">
      <c r="B58" s="93" t="s">
        <v>725</v>
      </c>
      <c r="C58" s="93" t="s">
        <v>727</v>
      </c>
      <c r="D58" s="68">
        <f>45+4.5</f>
        <v>49.5</v>
      </c>
      <c r="E58" s="17"/>
    </row>
    <row r="59" spans="2:6" s="1" customFormat="1" ht="12.6" customHeight="1" x14ac:dyDescent="0.2">
      <c r="B59" s="93" t="s">
        <v>726</v>
      </c>
      <c r="C59" s="256" t="s">
        <v>729</v>
      </c>
      <c r="D59" s="68">
        <v>2.2999999999999998</v>
      </c>
      <c r="E59" s="17"/>
      <c r="F59" s="2"/>
    </row>
    <row r="60" spans="2:6" s="1" customFormat="1" ht="12.6" customHeight="1" x14ac:dyDescent="0.2">
      <c r="B60" s="93" t="s">
        <v>728</v>
      </c>
      <c r="C60" s="256" t="s">
        <v>235</v>
      </c>
      <c r="D60" s="68">
        <v>150</v>
      </c>
      <c r="E60" s="17"/>
      <c r="F60" s="257"/>
    </row>
    <row r="61" spans="2:6" s="1" customFormat="1" ht="24" customHeight="1" x14ac:dyDescent="0.2">
      <c r="B61" s="93" t="s">
        <v>730</v>
      </c>
      <c r="C61" s="93" t="s">
        <v>731</v>
      </c>
      <c r="D61" s="68">
        <f>+D62</f>
        <v>12.4</v>
      </c>
      <c r="E61" s="17"/>
    </row>
    <row r="62" spans="2:6" s="1" customFormat="1" ht="24.75" customHeight="1" x14ac:dyDescent="0.2">
      <c r="B62" s="93" t="s">
        <v>732</v>
      </c>
      <c r="C62" s="93" t="s">
        <v>733</v>
      </c>
      <c r="D62" s="68">
        <f>3+9.4</f>
        <v>12.4</v>
      </c>
      <c r="E62" s="17"/>
    </row>
    <row r="63" spans="2:6" s="1" customFormat="1" ht="12.6" customHeight="1" x14ac:dyDescent="0.2">
      <c r="B63" s="93" t="s">
        <v>734</v>
      </c>
      <c r="C63" s="93" t="s">
        <v>735</v>
      </c>
      <c r="D63" s="68">
        <f>+D64+D65+D66+D67+D68+D69+D70+D71+D72</f>
        <v>232.9</v>
      </c>
    </row>
    <row r="64" spans="2:6" s="1" customFormat="1" ht="12.75" x14ac:dyDescent="0.2">
      <c r="B64" s="93" t="s">
        <v>736</v>
      </c>
      <c r="C64" s="93" t="s">
        <v>737</v>
      </c>
      <c r="D64" s="68">
        <v>3</v>
      </c>
      <c r="E64" s="3"/>
    </row>
    <row r="65" spans="2:6" s="1" customFormat="1" ht="22.5" customHeight="1" x14ac:dyDescent="0.2">
      <c r="B65" s="93" t="s">
        <v>738</v>
      </c>
      <c r="C65" s="93" t="s">
        <v>739</v>
      </c>
      <c r="D65" s="68">
        <v>14.5</v>
      </c>
      <c r="E65" s="2"/>
    </row>
    <row r="66" spans="2:6" s="1" customFormat="1" ht="12.75" x14ac:dyDescent="0.2">
      <c r="B66" s="93" t="s">
        <v>740</v>
      </c>
      <c r="C66" s="93" t="s">
        <v>741</v>
      </c>
      <c r="D66" s="68">
        <v>5</v>
      </c>
      <c r="E66" s="3"/>
    </row>
    <row r="67" spans="2:6" s="1" customFormat="1" ht="25.5" x14ac:dyDescent="0.2">
      <c r="B67" s="93" t="s">
        <v>742</v>
      </c>
      <c r="C67" s="93" t="s">
        <v>743</v>
      </c>
      <c r="D67" s="68">
        <v>10</v>
      </c>
    </row>
    <row r="68" spans="2:6" s="1" customFormat="1" ht="12.6" customHeight="1" x14ac:dyDescent="0.2">
      <c r="B68" s="93" t="s">
        <v>744</v>
      </c>
      <c r="C68" s="93" t="s">
        <v>745</v>
      </c>
      <c r="D68" s="68">
        <f>12+3</f>
        <v>15</v>
      </c>
      <c r="E68" s="3"/>
    </row>
    <row r="69" spans="2:6" s="1" customFormat="1" ht="11.25" customHeight="1" x14ac:dyDescent="0.2">
      <c r="B69" s="93" t="s">
        <v>746</v>
      </c>
      <c r="C69" s="93" t="s">
        <v>747</v>
      </c>
      <c r="D69" s="68">
        <v>15</v>
      </c>
      <c r="E69" s="3"/>
    </row>
    <row r="70" spans="2:6" s="1" customFormat="1" ht="13.5" customHeight="1" x14ac:dyDescent="0.2">
      <c r="B70" s="93" t="s">
        <v>748</v>
      </c>
      <c r="C70" s="93" t="s">
        <v>749</v>
      </c>
      <c r="D70" s="68">
        <v>27.1</v>
      </c>
      <c r="E70" s="3"/>
      <c r="F70" s="258"/>
    </row>
    <row r="71" spans="2:6" s="1" customFormat="1" ht="12" customHeight="1" x14ac:dyDescent="0.2">
      <c r="B71" s="93" t="s">
        <v>750</v>
      </c>
      <c r="C71" s="93" t="s">
        <v>751</v>
      </c>
      <c r="D71" s="68">
        <v>142</v>
      </c>
      <c r="E71" s="3"/>
    </row>
    <row r="72" spans="2:6" s="1" customFormat="1" ht="12.6" customHeight="1" x14ac:dyDescent="0.2">
      <c r="B72" s="93" t="s">
        <v>752</v>
      </c>
      <c r="C72" s="93" t="s">
        <v>753</v>
      </c>
      <c r="D72" s="68">
        <v>1.3</v>
      </c>
      <c r="E72" s="2"/>
    </row>
    <row r="73" spans="2:6" ht="12.6" customHeight="1" x14ac:dyDescent="0.25">
      <c r="B73" s="93" t="s">
        <v>754</v>
      </c>
      <c r="C73" s="93" t="s">
        <v>755</v>
      </c>
      <c r="D73" s="76">
        <f>+D74+D75+D76</f>
        <v>14.2</v>
      </c>
      <c r="E73" s="2"/>
      <c r="F73" s="1"/>
    </row>
    <row r="74" spans="2:6" ht="12.6" customHeight="1" x14ac:dyDescent="0.25">
      <c r="B74" s="93" t="s">
        <v>756</v>
      </c>
      <c r="C74" s="93" t="s">
        <v>757</v>
      </c>
      <c r="D74" s="68">
        <v>5</v>
      </c>
      <c r="E74" s="17"/>
      <c r="F74" s="1"/>
    </row>
    <row r="75" spans="2:6" s="238" customFormat="1" ht="12.6" customHeight="1" x14ac:dyDescent="0.25">
      <c r="B75" s="93" t="s">
        <v>758</v>
      </c>
      <c r="C75" s="93" t="s">
        <v>759</v>
      </c>
      <c r="D75" s="68">
        <v>2.2000000000000002</v>
      </c>
      <c r="E75" s="111"/>
    </row>
    <row r="76" spans="2:6" x14ac:dyDescent="0.25">
      <c r="B76" s="93" t="s">
        <v>760</v>
      </c>
      <c r="C76" s="93" t="s">
        <v>761</v>
      </c>
      <c r="D76" s="68">
        <v>7</v>
      </c>
      <c r="E76" s="17"/>
    </row>
    <row r="77" spans="2:6" ht="25.5" x14ac:dyDescent="0.25">
      <c r="B77" s="93" t="s">
        <v>762</v>
      </c>
      <c r="C77" s="93" t="s">
        <v>763</v>
      </c>
      <c r="D77" s="68">
        <f>+D78+D90+D91+D92+D93</f>
        <v>91.100000000000009</v>
      </c>
      <c r="E77" s="2"/>
    </row>
    <row r="78" spans="2:6" ht="12.6" customHeight="1" x14ac:dyDescent="0.25">
      <c r="B78" s="93" t="s">
        <v>764</v>
      </c>
      <c r="C78" s="93" t="s">
        <v>765</v>
      </c>
      <c r="D78" s="68">
        <f>D89+D88+D87+D86+D85+D84+D83+D82+D81+D80+D79</f>
        <v>52.9</v>
      </c>
      <c r="E78" s="2"/>
    </row>
    <row r="79" spans="2:6" ht="12.6" customHeight="1" x14ac:dyDescent="0.25">
      <c r="B79" s="93" t="s">
        <v>766</v>
      </c>
      <c r="C79" s="93" t="s">
        <v>708</v>
      </c>
      <c r="D79" s="68">
        <f>2+3.4</f>
        <v>5.4</v>
      </c>
      <c r="E79" s="17"/>
    </row>
    <row r="80" spans="2:6" ht="12.6" customHeight="1" x14ac:dyDescent="0.25">
      <c r="B80" s="93" t="s">
        <v>767</v>
      </c>
      <c r="C80" s="93" t="s">
        <v>768</v>
      </c>
      <c r="D80" s="68">
        <v>2</v>
      </c>
      <c r="E80" s="17"/>
    </row>
    <row r="81" spans="2:6" ht="12.6" customHeight="1" x14ac:dyDescent="0.25">
      <c r="B81" s="93" t="s">
        <v>769</v>
      </c>
      <c r="C81" s="93" t="s">
        <v>770</v>
      </c>
      <c r="D81" s="68">
        <v>2</v>
      </c>
      <c r="E81" s="17"/>
    </row>
    <row r="82" spans="2:6" ht="12.6" customHeight="1" x14ac:dyDescent="0.25">
      <c r="B82" s="93" t="s">
        <v>771</v>
      </c>
      <c r="C82" s="93" t="s">
        <v>718</v>
      </c>
      <c r="D82" s="68">
        <v>22</v>
      </c>
      <c r="E82" s="17"/>
    </row>
    <row r="83" spans="2:6" ht="12.6" customHeight="1" x14ac:dyDescent="0.25">
      <c r="B83" s="93" t="s">
        <v>772</v>
      </c>
      <c r="C83" s="93" t="s">
        <v>710</v>
      </c>
      <c r="D83" s="68">
        <v>2</v>
      </c>
      <c r="E83" s="17"/>
    </row>
    <row r="84" spans="2:6" ht="12.6" customHeight="1" x14ac:dyDescent="0.25">
      <c r="B84" s="93" t="s">
        <v>773</v>
      </c>
      <c r="C84" s="93" t="s">
        <v>712</v>
      </c>
      <c r="D84" s="68">
        <v>2</v>
      </c>
      <c r="E84" s="17"/>
    </row>
    <row r="85" spans="2:6" ht="12.6" customHeight="1" x14ac:dyDescent="0.25">
      <c r="B85" s="93" t="s">
        <v>774</v>
      </c>
      <c r="C85" s="93" t="s">
        <v>724</v>
      </c>
      <c r="D85" s="68">
        <v>2</v>
      </c>
      <c r="E85" s="6"/>
    </row>
    <row r="86" spans="2:6" ht="12.6" customHeight="1" x14ac:dyDescent="0.25">
      <c r="B86" s="93" t="s">
        <v>775</v>
      </c>
      <c r="C86" s="93" t="s">
        <v>720</v>
      </c>
      <c r="D86" s="68">
        <v>2</v>
      </c>
      <c r="E86" s="6"/>
    </row>
    <row r="87" spans="2:6" ht="12.6" customHeight="1" x14ac:dyDescent="0.25">
      <c r="B87" s="93" t="s">
        <v>776</v>
      </c>
      <c r="C87" s="93" t="s">
        <v>714</v>
      </c>
      <c r="D87" s="68">
        <v>9.5</v>
      </c>
      <c r="E87" s="2"/>
    </row>
    <row r="88" spans="2:6" ht="12.6" customHeight="1" x14ac:dyDescent="0.25">
      <c r="B88" s="93" t="s">
        <v>777</v>
      </c>
      <c r="C88" s="93" t="s">
        <v>778</v>
      </c>
      <c r="D88" s="68">
        <v>2</v>
      </c>
      <c r="E88" s="17"/>
    </row>
    <row r="89" spans="2:6" ht="12.6" customHeight="1" x14ac:dyDescent="0.25">
      <c r="B89" s="93" t="s">
        <v>779</v>
      </c>
      <c r="C89" s="93" t="s">
        <v>716</v>
      </c>
      <c r="D89" s="68">
        <v>2</v>
      </c>
      <c r="E89" s="17"/>
    </row>
    <row r="90" spans="2:6" ht="12.6" customHeight="1" x14ac:dyDescent="0.25">
      <c r="B90" s="93" t="s">
        <v>780</v>
      </c>
      <c r="C90" s="93" t="s">
        <v>781</v>
      </c>
      <c r="D90" s="68">
        <v>4</v>
      </c>
      <c r="E90" s="17"/>
    </row>
    <row r="91" spans="2:6" ht="12.6" customHeight="1" x14ac:dyDescent="0.25">
      <c r="B91" s="93" t="s">
        <v>782</v>
      </c>
      <c r="C91" s="93" t="s">
        <v>784</v>
      </c>
      <c r="D91" s="44">
        <f>15+10</f>
        <v>25</v>
      </c>
      <c r="E91" s="17"/>
    </row>
    <row r="92" spans="2:6" ht="12.6" customHeight="1" x14ac:dyDescent="0.25">
      <c r="B92" s="93" t="s">
        <v>783</v>
      </c>
      <c r="C92" s="93" t="s">
        <v>786</v>
      </c>
      <c r="D92" s="44">
        <v>2</v>
      </c>
      <c r="E92" s="2"/>
    </row>
    <row r="93" spans="2:6" ht="12.6" customHeight="1" x14ac:dyDescent="0.25">
      <c r="B93" s="93" t="s">
        <v>785</v>
      </c>
      <c r="C93" s="93" t="s">
        <v>787</v>
      </c>
      <c r="D93" s="44">
        <f>20-12.8</f>
        <v>7.1999999999999993</v>
      </c>
      <c r="E93" s="17"/>
    </row>
    <row r="94" spans="2:6" ht="12.6" customHeight="1" x14ac:dyDescent="0.25">
      <c r="B94" s="93" t="s">
        <v>788</v>
      </c>
      <c r="C94" s="93" t="s">
        <v>789</v>
      </c>
      <c r="D94" s="68">
        <f>6.5-1.5</f>
        <v>5</v>
      </c>
      <c r="E94" s="17"/>
    </row>
    <row r="95" spans="2:6" ht="12.6" customHeight="1" x14ac:dyDescent="0.25">
      <c r="B95" s="93"/>
      <c r="C95" s="242" t="s">
        <v>790</v>
      </c>
      <c r="D95" s="244">
        <f>+D47+D61+D63+D73+D77+D94</f>
        <v>582.1</v>
      </c>
      <c r="E95" s="17"/>
      <c r="F95" s="259"/>
    </row>
    <row r="96" spans="2:6" x14ac:dyDescent="0.25">
      <c r="B96" s="1"/>
      <c r="C96" s="181" t="s">
        <v>791</v>
      </c>
      <c r="D96" s="109"/>
    </row>
    <row r="97" spans="2:4" x14ac:dyDescent="0.25">
      <c r="B97" s="1"/>
      <c r="D97" s="1"/>
    </row>
    <row r="98" spans="2:4" x14ac:dyDescent="0.25">
      <c r="B98" s="1"/>
      <c r="C98" s="260"/>
      <c r="D98" s="1"/>
    </row>
  </sheetData>
  <mergeCells count="9">
    <mergeCell ref="B39:D39"/>
    <mergeCell ref="B40:C40"/>
    <mergeCell ref="B41:C41"/>
    <mergeCell ref="B44:D44"/>
    <mergeCell ref="C1:D1"/>
    <mergeCell ref="C2:D2"/>
    <mergeCell ref="C3:D3"/>
    <mergeCell ref="B5:D5"/>
    <mergeCell ref="B6:D6"/>
  </mergeCells>
  <pageMargins left="0.70866141732283472" right="0" top="0.74803149606299213" bottom="0.55118110236220474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74"/>
  <sheetViews>
    <sheetView zoomScaleNormal="100" workbookViewId="0">
      <selection activeCell="E3" sqref="E3:G3"/>
    </sheetView>
  </sheetViews>
  <sheetFormatPr defaultColWidth="9.140625" defaultRowHeight="12.75" x14ac:dyDescent="0.2"/>
  <cols>
    <col min="1" max="1" width="4.140625" style="1" customWidth="1"/>
    <col min="2" max="2" width="42.28515625" style="1" customWidth="1"/>
    <col min="3" max="3" width="8.28515625" style="1" customWidth="1"/>
    <col min="4" max="4" width="8.85546875" style="1" customWidth="1"/>
    <col min="5" max="5" width="11.7109375" style="5" customWidth="1"/>
    <col min="6" max="6" width="11.85546875" style="1" customWidth="1"/>
    <col min="7" max="12" width="9.140625" style="1" customWidth="1"/>
    <col min="13" max="16384" width="9.140625" style="1"/>
  </cols>
  <sheetData>
    <row r="1" spans="1:12" ht="15.75" customHeight="1" x14ac:dyDescent="0.25">
      <c r="B1" s="264" t="s">
        <v>574</v>
      </c>
      <c r="C1" s="264"/>
      <c r="D1" s="264"/>
      <c r="E1" s="264"/>
      <c r="F1" s="264"/>
      <c r="G1" s="264"/>
    </row>
    <row r="2" spans="1:12" ht="15.75" customHeight="1" x14ac:dyDescent="0.25">
      <c r="B2" s="264" t="s">
        <v>793</v>
      </c>
      <c r="C2" s="264"/>
      <c r="D2" s="264"/>
      <c r="E2" s="264"/>
      <c r="F2" s="264"/>
      <c r="G2" s="264"/>
    </row>
    <row r="3" spans="1:12" ht="15.75" x14ac:dyDescent="0.25">
      <c r="B3" s="62"/>
      <c r="C3" s="62"/>
      <c r="D3" s="62"/>
      <c r="E3" s="262" t="s">
        <v>99</v>
      </c>
      <c r="F3" s="262"/>
      <c r="G3" s="262"/>
    </row>
    <row r="5" spans="1:12" ht="42" customHeight="1" x14ac:dyDescent="0.2">
      <c r="A5" s="266" t="s">
        <v>213</v>
      </c>
      <c r="B5" s="266"/>
      <c r="C5" s="266"/>
      <c r="D5" s="266"/>
      <c r="E5" s="266"/>
      <c r="F5" s="266"/>
    </row>
    <row r="6" spans="1:12" x14ac:dyDescent="0.2">
      <c r="F6" s="272" t="s">
        <v>71</v>
      </c>
      <c r="G6" s="272"/>
    </row>
    <row r="7" spans="1:12" ht="12.6" customHeight="1" x14ac:dyDescent="0.2">
      <c r="A7" s="267" t="s">
        <v>0</v>
      </c>
      <c r="B7" s="267" t="s">
        <v>100</v>
      </c>
      <c r="C7" s="267" t="s">
        <v>17</v>
      </c>
      <c r="D7" s="269" t="s">
        <v>101</v>
      </c>
      <c r="E7" s="270"/>
      <c r="F7" s="270"/>
      <c r="G7" s="271"/>
    </row>
    <row r="8" spans="1:12" ht="76.5" x14ac:dyDescent="0.2">
      <c r="A8" s="268"/>
      <c r="B8" s="268"/>
      <c r="C8" s="268"/>
      <c r="D8" s="63" t="s">
        <v>102</v>
      </c>
      <c r="E8" s="63" t="s">
        <v>103</v>
      </c>
      <c r="F8" s="63" t="s">
        <v>104</v>
      </c>
      <c r="G8" s="63" t="s">
        <v>491</v>
      </c>
    </row>
    <row r="9" spans="1:12" x14ac:dyDescent="0.2">
      <c r="A9" s="63">
        <v>1</v>
      </c>
      <c r="B9" s="64">
        <v>2</v>
      </c>
      <c r="C9" s="63">
        <v>3</v>
      </c>
      <c r="D9" s="63">
        <v>4</v>
      </c>
      <c r="E9" s="63">
        <v>5</v>
      </c>
      <c r="F9" s="63">
        <v>6</v>
      </c>
      <c r="G9" s="65">
        <v>7</v>
      </c>
    </row>
    <row r="10" spans="1:12" ht="12.6" customHeight="1" x14ac:dyDescent="0.2">
      <c r="A10" s="66">
        <v>1</v>
      </c>
      <c r="B10" s="67" t="s">
        <v>105</v>
      </c>
      <c r="C10" s="44">
        <f>+E10+D10+F10+G10</f>
        <v>62.300000000000004</v>
      </c>
      <c r="D10" s="44"/>
      <c r="E10" s="68">
        <v>1.2</v>
      </c>
      <c r="F10" s="44">
        <f>59.4+1.7</f>
        <v>61.1</v>
      </c>
      <c r="G10" s="69"/>
      <c r="H10" s="3"/>
      <c r="I10" s="3"/>
      <c r="J10" s="3"/>
      <c r="K10" s="3"/>
      <c r="L10" s="3"/>
    </row>
    <row r="11" spans="1:12" ht="12.6" customHeight="1" x14ac:dyDescent="0.2">
      <c r="A11" s="66">
        <v>2</v>
      </c>
      <c r="B11" s="67" t="s">
        <v>79</v>
      </c>
      <c r="C11" s="44">
        <f t="shared" ref="C11:C63" si="0">+E11+D11+F11+G11</f>
        <v>65.2</v>
      </c>
      <c r="D11" s="44"/>
      <c r="E11" s="68">
        <v>1.2</v>
      </c>
      <c r="F11" s="44">
        <v>64</v>
      </c>
      <c r="G11" s="69"/>
      <c r="H11" s="3"/>
      <c r="I11" s="3"/>
      <c r="J11" s="3"/>
      <c r="K11" s="3"/>
      <c r="L11" s="3"/>
    </row>
    <row r="12" spans="1:12" ht="12.6" customHeight="1" x14ac:dyDescent="0.2">
      <c r="A12" s="66">
        <v>3</v>
      </c>
      <c r="B12" s="67" t="s">
        <v>80</v>
      </c>
      <c r="C12" s="44">
        <f t="shared" si="0"/>
        <v>62</v>
      </c>
      <c r="D12" s="44"/>
      <c r="E12" s="68">
        <f>3-1</f>
        <v>2</v>
      </c>
      <c r="F12" s="44">
        <f>80-20</f>
        <v>60</v>
      </c>
      <c r="G12" s="69"/>
      <c r="H12" s="3"/>
      <c r="I12" s="3"/>
      <c r="J12" s="3"/>
      <c r="K12" s="3"/>
      <c r="L12" s="3"/>
    </row>
    <row r="13" spans="1:12" ht="12.6" customHeight="1" x14ac:dyDescent="0.2">
      <c r="A13" s="66">
        <v>4</v>
      </c>
      <c r="B13" s="67" t="s">
        <v>84</v>
      </c>
      <c r="C13" s="44">
        <f t="shared" si="0"/>
        <v>88.5</v>
      </c>
      <c r="D13" s="44"/>
      <c r="E13" s="68">
        <v>3.5</v>
      </c>
      <c r="F13" s="44">
        <v>85</v>
      </c>
      <c r="G13" s="69"/>
      <c r="H13" s="3"/>
      <c r="I13" s="3"/>
      <c r="J13" s="3"/>
      <c r="K13" s="3"/>
      <c r="L13" s="3"/>
    </row>
    <row r="14" spans="1:12" ht="12.6" customHeight="1" x14ac:dyDescent="0.2">
      <c r="A14" s="66">
        <v>5</v>
      </c>
      <c r="B14" s="67" t="s">
        <v>81</v>
      </c>
      <c r="C14" s="44">
        <f t="shared" si="0"/>
        <v>79</v>
      </c>
      <c r="D14" s="44"/>
      <c r="E14" s="68">
        <v>3</v>
      </c>
      <c r="F14" s="44">
        <f>93-17</f>
        <v>76</v>
      </c>
      <c r="G14" s="69"/>
      <c r="H14" s="3"/>
      <c r="I14" s="3"/>
      <c r="J14" s="3"/>
      <c r="K14" s="3"/>
      <c r="L14" s="3"/>
    </row>
    <row r="15" spans="1:12" ht="12.6" customHeight="1" x14ac:dyDescent="0.2">
      <c r="A15" s="66">
        <v>6</v>
      </c>
      <c r="B15" s="67" t="s">
        <v>82</v>
      </c>
      <c r="C15" s="44">
        <f t="shared" si="0"/>
        <v>41.900000000000006</v>
      </c>
      <c r="D15" s="44"/>
      <c r="E15" s="68">
        <v>0.7</v>
      </c>
      <c r="F15" s="44">
        <f>53.2-12</f>
        <v>41.2</v>
      </c>
      <c r="G15" s="69"/>
      <c r="H15" s="3"/>
      <c r="I15" s="3"/>
      <c r="J15" s="3"/>
      <c r="K15" s="3"/>
      <c r="L15" s="3"/>
    </row>
    <row r="16" spans="1:12" ht="12.6" customHeight="1" x14ac:dyDescent="0.2">
      <c r="A16" s="66">
        <v>7</v>
      </c>
      <c r="B16" s="67" t="s">
        <v>83</v>
      </c>
      <c r="C16" s="44">
        <f t="shared" si="0"/>
        <v>79.7</v>
      </c>
      <c r="D16" s="44"/>
      <c r="E16" s="68">
        <v>1.7</v>
      </c>
      <c r="F16" s="44">
        <f>86-8</f>
        <v>78</v>
      </c>
      <c r="G16" s="69"/>
      <c r="H16" s="3"/>
      <c r="I16" s="3"/>
      <c r="J16" s="3"/>
      <c r="K16" s="3"/>
      <c r="L16" s="3"/>
    </row>
    <row r="17" spans="1:12" ht="12.6" customHeight="1" x14ac:dyDescent="0.2">
      <c r="A17" s="66">
        <v>8</v>
      </c>
      <c r="B17" s="70" t="s">
        <v>95</v>
      </c>
      <c r="C17" s="44">
        <f t="shared" si="0"/>
        <v>74.7</v>
      </c>
      <c r="D17" s="44"/>
      <c r="E17" s="68">
        <v>0.4</v>
      </c>
      <c r="F17" s="44">
        <v>74.3</v>
      </c>
      <c r="G17" s="69"/>
      <c r="H17" s="3"/>
      <c r="I17" s="3"/>
      <c r="J17" s="3"/>
      <c r="K17" s="3"/>
      <c r="L17" s="3"/>
    </row>
    <row r="18" spans="1:12" ht="12.6" customHeight="1" x14ac:dyDescent="0.2">
      <c r="A18" s="66">
        <v>9</v>
      </c>
      <c r="B18" s="67" t="s">
        <v>87</v>
      </c>
      <c r="C18" s="44">
        <f t="shared" si="0"/>
        <v>20</v>
      </c>
      <c r="D18" s="44">
        <v>9</v>
      </c>
      <c r="E18" s="68">
        <v>11</v>
      </c>
      <c r="F18" s="44"/>
      <c r="G18" s="69"/>
      <c r="H18" s="3"/>
      <c r="I18" s="3"/>
      <c r="J18" s="3"/>
      <c r="K18" s="3"/>
      <c r="L18" s="3"/>
    </row>
    <row r="19" spans="1:12" ht="12.6" customHeight="1" x14ac:dyDescent="0.2">
      <c r="A19" s="66">
        <v>10</v>
      </c>
      <c r="B19" s="67" t="s">
        <v>38</v>
      </c>
      <c r="C19" s="44">
        <f t="shared" si="0"/>
        <v>10.6</v>
      </c>
      <c r="D19" s="44">
        <v>0.5</v>
      </c>
      <c r="E19" s="68">
        <v>0.1</v>
      </c>
      <c r="F19" s="44">
        <v>10</v>
      </c>
      <c r="G19" s="69"/>
      <c r="H19" s="3"/>
      <c r="I19" s="3"/>
      <c r="J19" s="3"/>
      <c r="K19" s="3"/>
      <c r="L19" s="3"/>
    </row>
    <row r="20" spans="1:12" ht="12.6" customHeight="1" x14ac:dyDescent="0.2">
      <c r="A20" s="66">
        <v>11</v>
      </c>
      <c r="B20" s="71" t="s">
        <v>73</v>
      </c>
      <c r="C20" s="44">
        <f t="shared" si="0"/>
        <v>30.7</v>
      </c>
      <c r="D20" s="44">
        <f>1+0.3</f>
        <v>1.3</v>
      </c>
      <c r="E20" s="68">
        <f>1.2+0.2</f>
        <v>1.4</v>
      </c>
      <c r="F20" s="44">
        <f>31-3</f>
        <v>28</v>
      </c>
      <c r="G20" s="69"/>
      <c r="H20" s="3"/>
      <c r="I20" s="3"/>
      <c r="J20" s="3"/>
      <c r="K20" s="3"/>
      <c r="L20" s="3"/>
    </row>
    <row r="21" spans="1:12" ht="12.6" customHeight="1" x14ac:dyDescent="0.2">
      <c r="A21" s="66">
        <v>12</v>
      </c>
      <c r="B21" s="71" t="s">
        <v>74</v>
      </c>
      <c r="C21" s="44">
        <f t="shared" si="0"/>
        <v>4.5999999999999996</v>
      </c>
      <c r="D21" s="44">
        <v>2</v>
      </c>
      <c r="E21" s="68">
        <v>0.3</v>
      </c>
      <c r="F21" s="44">
        <v>2.2999999999999998</v>
      </c>
      <c r="G21" s="69"/>
      <c r="H21" s="3"/>
      <c r="I21" s="3"/>
      <c r="J21" s="3"/>
      <c r="K21" s="3"/>
      <c r="L21" s="3"/>
    </row>
    <row r="22" spans="1:12" ht="12.6" customHeight="1" x14ac:dyDescent="0.2">
      <c r="A22" s="66">
        <v>13</v>
      </c>
      <c r="B22" s="71" t="s">
        <v>32</v>
      </c>
      <c r="C22" s="44">
        <f t="shared" si="0"/>
        <v>17.700000000000003</v>
      </c>
      <c r="D22" s="44">
        <v>3</v>
      </c>
      <c r="E22" s="68">
        <v>0.1</v>
      </c>
      <c r="F22" s="44">
        <f>16.6-2</f>
        <v>14.600000000000001</v>
      </c>
      <c r="G22" s="69"/>
      <c r="H22" s="3"/>
      <c r="I22" s="3"/>
      <c r="J22" s="3"/>
      <c r="K22" s="3"/>
      <c r="L22" s="3"/>
    </row>
    <row r="23" spans="1:12" ht="12.6" customHeight="1" x14ac:dyDescent="0.2">
      <c r="A23" s="66">
        <v>14</v>
      </c>
      <c r="B23" s="67" t="s">
        <v>106</v>
      </c>
      <c r="C23" s="44">
        <f t="shared" si="0"/>
        <v>20.5</v>
      </c>
      <c r="D23" s="44">
        <v>2.1</v>
      </c>
      <c r="E23" s="68">
        <v>1.4</v>
      </c>
      <c r="F23" s="44">
        <f>6+11</f>
        <v>17</v>
      </c>
      <c r="G23" s="69"/>
      <c r="H23" s="3"/>
      <c r="I23" s="3"/>
      <c r="J23" s="3"/>
      <c r="K23" s="3"/>
      <c r="L23" s="3"/>
    </row>
    <row r="24" spans="1:12" ht="25.5" x14ac:dyDescent="0.2">
      <c r="A24" s="66">
        <v>15</v>
      </c>
      <c r="B24" s="71" t="s">
        <v>85</v>
      </c>
      <c r="C24" s="44">
        <f t="shared" si="0"/>
        <v>20.100000000000001</v>
      </c>
      <c r="D24" s="44">
        <f>25-9</f>
        <v>16</v>
      </c>
      <c r="E24" s="68">
        <f>3.5-0.9</f>
        <v>2.6</v>
      </c>
      <c r="F24" s="44">
        <f>3.5-2</f>
        <v>1.5</v>
      </c>
      <c r="G24" s="69"/>
      <c r="H24" s="3"/>
      <c r="I24" s="3"/>
      <c r="J24" s="3"/>
      <c r="K24" s="3"/>
      <c r="L24" s="3"/>
    </row>
    <row r="25" spans="1:12" ht="15" customHeight="1" x14ac:dyDescent="0.2">
      <c r="A25" s="66">
        <v>16</v>
      </c>
      <c r="B25" s="67" t="s">
        <v>86</v>
      </c>
      <c r="C25" s="44">
        <f t="shared" si="0"/>
        <v>4.5</v>
      </c>
      <c r="D25" s="44">
        <v>2.5</v>
      </c>
      <c r="E25" s="68">
        <v>0.5</v>
      </c>
      <c r="F25" s="44">
        <f>2.5-1</f>
        <v>1.5</v>
      </c>
      <c r="G25" s="69"/>
      <c r="H25" s="3"/>
      <c r="I25" s="3"/>
      <c r="J25" s="3"/>
      <c r="K25" s="3"/>
      <c r="L25" s="3"/>
    </row>
    <row r="26" spans="1:12" ht="12.6" customHeight="1" x14ac:dyDescent="0.2">
      <c r="A26" s="66">
        <v>17</v>
      </c>
      <c r="B26" s="71" t="s">
        <v>539</v>
      </c>
      <c r="C26" s="44">
        <f t="shared" si="0"/>
        <v>12.3</v>
      </c>
      <c r="D26" s="44"/>
      <c r="E26" s="68">
        <v>4.2</v>
      </c>
      <c r="F26" s="44">
        <v>8.1</v>
      </c>
      <c r="G26" s="69"/>
      <c r="H26" s="3"/>
      <c r="I26" s="3"/>
      <c r="J26" s="3"/>
      <c r="K26" s="3"/>
      <c r="L26" s="3"/>
    </row>
    <row r="27" spans="1:12" ht="12.6" customHeight="1" x14ac:dyDescent="0.2">
      <c r="A27" s="66">
        <v>18</v>
      </c>
      <c r="B27" s="71" t="s">
        <v>33</v>
      </c>
      <c r="C27" s="44">
        <f t="shared" si="0"/>
        <v>1</v>
      </c>
      <c r="D27" s="44">
        <f>0.4-0.1</f>
        <v>0.30000000000000004</v>
      </c>
      <c r="E27" s="68">
        <f>0.3-0.1</f>
        <v>0.19999999999999998</v>
      </c>
      <c r="F27" s="44">
        <f>0.6-0.1</f>
        <v>0.5</v>
      </c>
      <c r="G27" s="69"/>
      <c r="H27" s="3"/>
      <c r="I27" s="3"/>
      <c r="J27" s="3"/>
      <c r="K27" s="3"/>
      <c r="L27" s="3"/>
    </row>
    <row r="28" spans="1:12" ht="12.6" customHeight="1" x14ac:dyDescent="0.2">
      <c r="A28" s="66">
        <v>19</v>
      </c>
      <c r="B28" s="71" t="s">
        <v>75</v>
      </c>
      <c r="C28" s="44">
        <f t="shared" si="0"/>
        <v>62.6</v>
      </c>
      <c r="D28" s="44"/>
      <c r="E28" s="68">
        <v>3</v>
      </c>
      <c r="F28" s="44">
        <v>59.6</v>
      </c>
      <c r="G28" s="69"/>
      <c r="H28" s="3"/>
      <c r="I28" s="3"/>
      <c r="J28" s="3"/>
      <c r="K28" s="3"/>
      <c r="L28" s="3"/>
    </row>
    <row r="29" spans="1:12" ht="25.5" x14ac:dyDescent="0.2">
      <c r="A29" s="66">
        <v>20</v>
      </c>
      <c r="B29" s="72" t="s">
        <v>34</v>
      </c>
      <c r="C29" s="44">
        <f t="shared" si="0"/>
        <v>2.9</v>
      </c>
      <c r="D29" s="44">
        <f>0.2-0.2</f>
        <v>0</v>
      </c>
      <c r="E29" s="68">
        <v>0.1</v>
      </c>
      <c r="F29" s="44">
        <v>2.8</v>
      </c>
      <c r="G29" s="69"/>
      <c r="H29" s="3"/>
      <c r="I29" s="3"/>
      <c r="J29" s="3"/>
      <c r="K29" s="3"/>
      <c r="L29" s="3"/>
    </row>
    <row r="30" spans="1:12" ht="12.6" customHeight="1" x14ac:dyDescent="0.2">
      <c r="A30" s="66">
        <v>21</v>
      </c>
      <c r="B30" s="71" t="s">
        <v>64</v>
      </c>
      <c r="C30" s="44">
        <f t="shared" si="0"/>
        <v>139.6</v>
      </c>
      <c r="D30" s="44">
        <f>38.3+61.7</f>
        <v>100</v>
      </c>
      <c r="E30" s="68"/>
      <c r="F30" s="44">
        <v>39.6</v>
      </c>
      <c r="G30" s="69"/>
      <c r="H30" s="3"/>
      <c r="I30" s="3"/>
      <c r="J30" s="3"/>
      <c r="K30" s="3"/>
      <c r="L30" s="3"/>
    </row>
    <row r="31" spans="1:12" ht="12.6" customHeight="1" x14ac:dyDescent="0.2">
      <c r="A31" s="66">
        <v>22</v>
      </c>
      <c r="B31" s="67" t="s">
        <v>185</v>
      </c>
      <c r="C31" s="44">
        <f t="shared" si="0"/>
        <v>15.5</v>
      </c>
      <c r="D31" s="44">
        <f>2+1+2.5</f>
        <v>5.5</v>
      </c>
      <c r="E31" s="68"/>
      <c r="F31" s="44">
        <f>11-1</f>
        <v>10</v>
      </c>
      <c r="G31" s="69"/>
      <c r="H31" s="3"/>
      <c r="I31" s="3"/>
      <c r="J31" s="3"/>
      <c r="K31" s="3"/>
      <c r="L31" s="3"/>
    </row>
    <row r="32" spans="1:12" ht="12.6" customHeight="1" x14ac:dyDescent="0.2">
      <c r="A32" s="66">
        <v>23</v>
      </c>
      <c r="B32" s="73" t="s">
        <v>46</v>
      </c>
      <c r="C32" s="44">
        <f t="shared" si="0"/>
        <v>87.1</v>
      </c>
      <c r="D32" s="44"/>
      <c r="E32" s="68"/>
      <c r="F32" s="44">
        <v>87.1</v>
      </c>
      <c r="G32" s="69"/>
      <c r="H32" s="3"/>
      <c r="I32" s="3"/>
      <c r="J32" s="3"/>
      <c r="K32" s="3"/>
      <c r="L32" s="3"/>
    </row>
    <row r="33" spans="1:12" ht="12.6" customHeight="1" x14ac:dyDescent="0.2">
      <c r="A33" s="66">
        <v>24</v>
      </c>
      <c r="B33" s="73" t="s">
        <v>39</v>
      </c>
      <c r="C33" s="44">
        <f t="shared" si="0"/>
        <v>76.5</v>
      </c>
      <c r="D33" s="44">
        <v>0.5</v>
      </c>
      <c r="E33" s="68"/>
      <c r="F33" s="44">
        <v>76</v>
      </c>
      <c r="G33" s="69"/>
      <c r="H33" s="3"/>
      <c r="I33" s="3"/>
      <c r="J33" s="3"/>
      <c r="K33" s="3"/>
      <c r="L33" s="3"/>
    </row>
    <row r="34" spans="1:12" ht="12.6" customHeight="1" x14ac:dyDescent="0.2">
      <c r="A34" s="66">
        <v>25</v>
      </c>
      <c r="B34" s="67" t="s">
        <v>40</v>
      </c>
      <c r="C34" s="44">
        <f t="shared" si="0"/>
        <v>87</v>
      </c>
      <c r="D34" s="44">
        <v>2</v>
      </c>
      <c r="E34" s="68">
        <v>7.5</v>
      </c>
      <c r="F34" s="44">
        <v>77.5</v>
      </c>
      <c r="G34" s="69"/>
      <c r="H34" s="3"/>
      <c r="I34" s="3"/>
      <c r="J34" s="3"/>
      <c r="K34" s="3"/>
      <c r="L34" s="3"/>
    </row>
    <row r="35" spans="1:12" ht="12.6" customHeight="1" x14ac:dyDescent="0.2">
      <c r="A35" s="66">
        <v>26</v>
      </c>
      <c r="B35" s="73" t="s">
        <v>107</v>
      </c>
      <c r="C35" s="44">
        <f t="shared" si="0"/>
        <v>15.5</v>
      </c>
      <c r="D35" s="44">
        <v>14.7</v>
      </c>
      <c r="E35" s="68">
        <v>0.8</v>
      </c>
      <c r="F35" s="44"/>
      <c r="G35" s="69"/>
      <c r="H35" s="3"/>
      <c r="I35" s="3"/>
      <c r="J35" s="3"/>
      <c r="K35" s="3"/>
      <c r="L35" s="3"/>
    </row>
    <row r="36" spans="1:12" ht="12.6" customHeight="1" x14ac:dyDescent="0.2">
      <c r="A36" s="66">
        <v>27</v>
      </c>
      <c r="B36" s="67" t="s">
        <v>65</v>
      </c>
      <c r="C36" s="44">
        <f t="shared" si="0"/>
        <v>132</v>
      </c>
      <c r="D36" s="44">
        <v>23</v>
      </c>
      <c r="E36" s="68">
        <f>35+35+12</f>
        <v>82</v>
      </c>
      <c r="F36" s="44">
        <f>22+5</f>
        <v>27</v>
      </c>
      <c r="G36" s="69"/>
      <c r="H36" s="3"/>
      <c r="I36" s="3"/>
      <c r="J36" s="3"/>
      <c r="K36" s="3"/>
      <c r="L36" s="3"/>
    </row>
    <row r="37" spans="1:12" ht="12.6" customHeight="1" x14ac:dyDescent="0.2">
      <c r="A37" s="66">
        <v>28</v>
      </c>
      <c r="B37" s="73" t="s">
        <v>36</v>
      </c>
      <c r="C37" s="44">
        <f t="shared" si="0"/>
        <v>23</v>
      </c>
      <c r="D37" s="44">
        <f>8+1+10</f>
        <v>19</v>
      </c>
      <c r="E37" s="68">
        <v>4</v>
      </c>
      <c r="F37" s="44"/>
      <c r="G37" s="69"/>
      <c r="H37" s="3"/>
      <c r="I37" s="3"/>
      <c r="J37" s="3"/>
      <c r="K37" s="3"/>
      <c r="L37" s="3"/>
    </row>
    <row r="38" spans="1:12" ht="12.6" customHeight="1" x14ac:dyDescent="0.2">
      <c r="A38" s="66">
        <v>29</v>
      </c>
      <c r="B38" s="74" t="s">
        <v>41</v>
      </c>
      <c r="C38" s="44">
        <f t="shared" si="0"/>
        <v>2.2999999999999998</v>
      </c>
      <c r="D38" s="44">
        <v>0.8</v>
      </c>
      <c r="E38" s="68">
        <v>1.5</v>
      </c>
      <c r="F38" s="44"/>
      <c r="G38" s="69"/>
      <c r="H38" s="3"/>
      <c r="I38" s="3"/>
      <c r="J38" s="3"/>
      <c r="K38" s="3"/>
      <c r="L38" s="3"/>
    </row>
    <row r="39" spans="1:12" ht="12.6" customHeight="1" x14ac:dyDescent="0.2">
      <c r="A39" s="66">
        <v>30</v>
      </c>
      <c r="B39" s="73" t="s">
        <v>42</v>
      </c>
      <c r="C39" s="44">
        <f t="shared" si="0"/>
        <v>1.7</v>
      </c>
      <c r="D39" s="44">
        <v>1.2</v>
      </c>
      <c r="E39" s="68">
        <v>0.5</v>
      </c>
      <c r="F39" s="44"/>
      <c r="G39" s="69"/>
      <c r="H39" s="3"/>
      <c r="I39" s="3"/>
      <c r="J39" s="3"/>
      <c r="K39" s="3"/>
      <c r="L39" s="3"/>
    </row>
    <row r="40" spans="1:12" ht="12.6" customHeight="1" x14ac:dyDescent="0.2">
      <c r="A40" s="66">
        <v>31</v>
      </c>
      <c r="B40" s="73" t="s">
        <v>37</v>
      </c>
      <c r="C40" s="44">
        <f t="shared" si="0"/>
        <v>8</v>
      </c>
      <c r="D40" s="44">
        <f>1+6</f>
        <v>7</v>
      </c>
      <c r="E40" s="68">
        <v>1</v>
      </c>
      <c r="F40" s="44"/>
      <c r="G40" s="69"/>
      <c r="H40" s="3"/>
      <c r="I40" s="3"/>
      <c r="J40" s="3"/>
      <c r="K40" s="3"/>
      <c r="L40" s="3"/>
    </row>
    <row r="41" spans="1:12" ht="12.6" customHeight="1" x14ac:dyDescent="0.2">
      <c r="A41" s="66">
        <v>32</v>
      </c>
      <c r="B41" s="73" t="s">
        <v>43</v>
      </c>
      <c r="C41" s="44">
        <f t="shared" si="0"/>
        <v>0.6</v>
      </c>
      <c r="D41" s="44">
        <v>0.5</v>
      </c>
      <c r="E41" s="68">
        <v>0.1</v>
      </c>
      <c r="F41" s="44"/>
      <c r="G41" s="69"/>
      <c r="H41" s="3"/>
      <c r="I41" s="3"/>
      <c r="J41" s="3"/>
      <c r="K41" s="3"/>
      <c r="L41" s="3"/>
    </row>
    <row r="42" spans="1:12" x14ac:dyDescent="0.2">
      <c r="A42" s="66">
        <v>33</v>
      </c>
      <c r="B42" s="73" t="s">
        <v>44</v>
      </c>
      <c r="C42" s="44">
        <f t="shared" si="0"/>
        <v>0.6</v>
      </c>
      <c r="D42" s="44">
        <v>0.3</v>
      </c>
      <c r="E42" s="68">
        <v>0.3</v>
      </c>
      <c r="F42" s="44"/>
      <c r="G42" s="69"/>
      <c r="H42" s="3"/>
      <c r="I42" s="3"/>
      <c r="J42" s="3"/>
      <c r="K42" s="3"/>
      <c r="L42" s="3"/>
    </row>
    <row r="43" spans="1:12" ht="25.5" x14ac:dyDescent="0.2">
      <c r="A43" s="66">
        <v>34</v>
      </c>
      <c r="B43" s="72" t="s">
        <v>45</v>
      </c>
      <c r="C43" s="44">
        <f t="shared" si="0"/>
        <v>9.5</v>
      </c>
      <c r="D43" s="44">
        <f>1.1</f>
        <v>1.1000000000000001</v>
      </c>
      <c r="E43" s="68">
        <f>6+2.4</f>
        <v>8.4</v>
      </c>
      <c r="F43" s="44"/>
      <c r="G43" s="69"/>
      <c r="H43" s="3"/>
      <c r="I43" s="3"/>
      <c r="J43" s="3"/>
      <c r="K43" s="3"/>
      <c r="L43" s="3"/>
    </row>
    <row r="44" spans="1:12" ht="12.6" customHeight="1" x14ac:dyDescent="0.2">
      <c r="A44" s="66">
        <v>35</v>
      </c>
      <c r="B44" s="73" t="s">
        <v>35</v>
      </c>
      <c r="C44" s="44">
        <f t="shared" si="0"/>
        <v>45.5</v>
      </c>
      <c r="D44" s="44">
        <v>45</v>
      </c>
      <c r="E44" s="68">
        <v>0.5</v>
      </c>
      <c r="F44" s="44"/>
      <c r="G44" s="69"/>
      <c r="H44" s="3"/>
      <c r="I44" s="3"/>
      <c r="J44" s="3"/>
      <c r="K44" s="3"/>
      <c r="L44" s="3"/>
    </row>
    <row r="45" spans="1:12" ht="12.6" customHeight="1" x14ac:dyDescent="0.2">
      <c r="A45" s="66">
        <v>36</v>
      </c>
      <c r="B45" s="71" t="s">
        <v>25</v>
      </c>
      <c r="C45" s="44">
        <f t="shared" si="0"/>
        <v>1</v>
      </c>
      <c r="D45" s="44">
        <v>1</v>
      </c>
      <c r="E45" s="68"/>
      <c r="F45" s="44"/>
      <c r="G45" s="69"/>
      <c r="H45" s="3"/>
      <c r="I45" s="3"/>
      <c r="J45" s="3"/>
      <c r="K45" s="3"/>
      <c r="L45" s="3"/>
    </row>
    <row r="46" spans="1:12" ht="12.6" customHeight="1" x14ac:dyDescent="0.2">
      <c r="A46" s="66">
        <v>37</v>
      </c>
      <c r="B46" s="75" t="s">
        <v>1</v>
      </c>
      <c r="C46" s="44">
        <f t="shared" si="0"/>
        <v>103</v>
      </c>
      <c r="D46" s="44">
        <f>97+6</f>
        <v>103</v>
      </c>
      <c r="E46" s="68"/>
      <c r="F46" s="44"/>
      <c r="G46" s="69"/>
      <c r="H46" s="3"/>
      <c r="I46" s="3"/>
      <c r="J46" s="3"/>
      <c r="K46" s="3"/>
      <c r="L46" s="3"/>
    </row>
    <row r="47" spans="1:12" ht="12.6" customHeight="1" x14ac:dyDescent="0.2">
      <c r="A47" s="66">
        <v>38</v>
      </c>
      <c r="B47" s="73" t="s">
        <v>2</v>
      </c>
      <c r="C47" s="44">
        <f t="shared" si="0"/>
        <v>430</v>
      </c>
      <c r="D47" s="44"/>
      <c r="E47" s="68"/>
      <c r="F47" s="44">
        <f>390+40</f>
        <v>430</v>
      </c>
      <c r="G47" s="69"/>
      <c r="H47" s="3"/>
      <c r="I47" s="3"/>
      <c r="J47" s="3"/>
      <c r="K47" s="3"/>
      <c r="L47" s="3"/>
    </row>
    <row r="48" spans="1:12" ht="12.6" customHeight="1" x14ac:dyDescent="0.2">
      <c r="A48" s="66">
        <v>39</v>
      </c>
      <c r="B48" s="73" t="s">
        <v>15</v>
      </c>
      <c r="C48" s="44">
        <f t="shared" si="0"/>
        <v>332</v>
      </c>
      <c r="D48" s="44"/>
      <c r="E48" s="68"/>
      <c r="F48" s="44">
        <f>322+10</f>
        <v>332</v>
      </c>
      <c r="G48" s="69"/>
      <c r="H48" s="3"/>
      <c r="I48" s="3"/>
      <c r="J48" s="3"/>
      <c r="K48" s="3"/>
      <c r="L48" s="3"/>
    </row>
    <row r="49" spans="1:12" ht="12.6" customHeight="1" x14ac:dyDescent="0.2">
      <c r="A49" s="66">
        <v>40</v>
      </c>
      <c r="B49" s="73" t="s">
        <v>108</v>
      </c>
      <c r="C49" s="44">
        <f t="shared" si="0"/>
        <v>354.3</v>
      </c>
      <c r="D49" s="44"/>
      <c r="E49" s="68"/>
      <c r="F49" s="44">
        <f>294.3+30+30</f>
        <v>354.3</v>
      </c>
      <c r="G49" s="69"/>
      <c r="H49" s="3"/>
      <c r="I49" s="3"/>
      <c r="J49" s="3"/>
      <c r="K49" s="3"/>
      <c r="L49" s="3"/>
    </row>
    <row r="50" spans="1:12" ht="12.6" customHeight="1" x14ac:dyDescent="0.2">
      <c r="A50" s="66">
        <v>41</v>
      </c>
      <c r="B50" s="76" t="s">
        <v>78</v>
      </c>
      <c r="C50" s="44">
        <f t="shared" si="0"/>
        <v>12.8</v>
      </c>
      <c r="D50" s="44"/>
      <c r="E50" s="68"/>
      <c r="F50" s="44">
        <f>5.8+3.5+3.5</f>
        <v>12.8</v>
      </c>
      <c r="G50" s="69"/>
      <c r="H50" s="3"/>
      <c r="I50" s="3"/>
      <c r="J50" s="3"/>
      <c r="K50" s="3"/>
      <c r="L50" s="3"/>
    </row>
    <row r="51" spans="1:12" ht="12.6" customHeight="1" x14ac:dyDescent="0.2">
      <c r="A51" s="66">
        <v>42</v>
      </c>
      <c r="B51" s="72" t="s">
        <v>109</v>
      </c>
      <c r="C51" s="44">
        <f t="shared" si="0"/>
        <v>9.4</v>
      </c>
      <c r="D51" s="44">
        <v>9.4</v>
      </c>
      <c r="E51" s="68"/>
      <c r="F51" s="44"/>
      <c r="G51" s="69"/>
      <c r="H51" s="3"/>
      <c r="I51" s="3"/>
      <c r="J51" s="3"/>
      <c r="K51" s="3"/>
      <c r="L51" s="3"/>
    </row>
    <row r="52" spans="1:12" x14ac:dyDescent="0.2">
      <c r="A52" s="66">
        <v>43</v>
      </c>
      <c r="B52" s="77" t="s">
        <v>3</v>
      </c>
      <c r="C52" s="44">
        <f t="shared" si="0"/>
        <v>114.5</v>
      </c>
      <c r="D52" s="44"/>
      <c r="E52" s="68">
        <f>10.3+4.2</f>
        <v>14.5</v>
      </c>
      <c r="F52" s="44"/>
      <c r="G52" s="69">
        <v>100</v>
      </c>
      <c r="H52" s="3"/>
      <c r="I52" s="3"/>
      <c r="J52" s="3"/>
      <c r="K52" s="3"/>
      <c r="L52" s="3"/>
    </row>
    <row r="53" spans="1:12" ht="25.5" x14ac:dyDescent="0.2">
      <c r="A53" s="66">
        <v>44</v>
      </c>
      <c r="B53" s="72" t="s">
        <v>8</v>
      </c>
      <c r="C53" s="44">
        <f t="shared" si="0"/>
        <v>16.900000000000002</v>
      </c>
      <c r="D53" s="44">
        <v>0.3</v>
      </c>
      <c r="E53" s="68">
        <v>16.600000000000001</v>
      </c>
      <c r="F53" s="44"/>
      <c r="G53" s="69"/>
      <c r="H53" s="3"/>
      <c r="I53" s="3"/>
      <c r="J53" s="3"/>
      <c r="K53" s="3"/>
      <c r="L53" s="3"/>
    </row>
    <row r="54" spans="1:12" ht="25.5" x14ac:dyDescent="0.2">
      <c r="A54" s="66">
        <v>45</v>
      </c>
      <c r="B54" s="72" t="s">
        <v>4</v>
      </c>
      <c r="C54" s="44">
        <f t="shared" si="0"/>
        <v>3.5</v>
      </c>
      <c r="D54" s="44"/>
      <c r="E54" s="68">
        <v>3.5</v>
      </c>
      <c r="F54" s="44"/>
      <c r="G54" s="69"/>
      <c r="H54" s="3"/>
      <c r="I54" s="3"/>
      <c r="J54" s="3"/>
      <c r="K54" s="3"/>
      <c r="L54" s="3"/>
    </row>
    <row r="55" spans="1:12" ht="25.5" x14ac:dyDescent="0.2">
      <c r="A55" s="66">
        <v>46</v>
      </c>
      <c r="B55" s="72" t="s">
        <v>5</v>
      </c>
      <c r="C55" s="44">
        <f t="shared" si="0"/>
        <v>3.9</v>
      </c>
      <c r="D55" s="44">
        <v>1.4</v>
      </c>
      <c r="E55" s="68">
        <v>2.5</v>
      </c>
      <c r="F55" s="44"/>
      <c r="G55" s="69"/>
      <c r="H55" s="3"/>
      <c r="I55" s="3"/>
      <c r="J55" s="3"/>
      <c r="K55" s="3"/>
      <c r="L55" s="3"/>
    </row>
    <row r="56" spans="1:12" ht="25.5" x14ac:dyDescent="0.2">
      <c r="A56" s="66">
        <v>47</v>
      </c>
      <c r="B56" s="72" t="s">
        <v>7</v>
      </c>
      <c r="C56" s="44">
        <f t="shared" si="0"/>
        <v>10.5</v>
      </c>
      <c r="D56" s="44">
        <v>3</v>
      </c>
      <c r="E56" s="68">
        <v>7.5</v>
      </c>
      <c r="F56" s="44"/>
      <c r="G56" s="69"/>
      <c r="H56" s="3"/>
      <c r="I56" s="3"/>
      <c r="J56" s="3"/>
      <c r="K56" s="3"/>
      <c r="L56" s="3"/>
    </row>
    <row r="57" spans="1:12" ht="25.5" x14ac:dyDescent="0.2">
      <c r="A57" s="66">
        <v>48</v>
      </c>
      <c r="B57" s="72" t="s">
        <v>6</v>
      </c>
      <c r="C57" s="44">
        <f t="shared" si="0"/>
        <v>1.6</v>
      </c>
      <c r="D57" s="44">
        <v>0.6</v>
      </c>
      <c r="E57" s="68">
        <v>1</v>
      </c>
      <c r="F57" s="44"/>
      <c r="G57" s="69"/>
      <c r="H57" s="3"/>
      <c r="I57" s="3"/>
      <c r="J57" s="3"/>
      <c r="K57" s="3"/>
      <c r="L57" s="3"/>
    </row>
    <row r="58" spans="1:12" ht="25.5" x14ac:dyDescent="0.2">
      <c r="A58" s="66">
        <v>49</v>
      </c>
      <c r="B58" s="72" t="s">
        <v>9</v>
      </c>
      <c r="C58" s="44">
        <f t="shared" si="0"/>
        <v>3.9</v>
      </c>
      <c r="D58" s="44"/>
      <c r="E58" s="68">
        <v>3.9</v>
      </c>
      <c r="F58" s="44"/>
      <c r="G58" s="69"/>
      <c r="H58" s="3"/>
      <c r="I58" s="3"/>
      <c r="J58" s="3"/>
      <c r="K58" s="3"/>
      <c r="L58" s="3"/>
    </row>
    <row r="59" spans="1:12" ht="25.5" x14ac:dyDescent="0.2">
      <c r="A59" s="66">
        <v>50</v>
      </c>
      <c r="B59" s="75" t="s">
        <v>10</v>
      </c>
      <c r="C59" s="44">
        <f t="shared" si="0"/>
        <v>4.3000000000000007</v>
      </c>
      <c r="D59" s="44">
        <v>2.2000000000000002</v>
      </c>
      <c r="E59" s="68">
        <v>2.1</v>
      </c>
      <c r="F59" s="44"/>
      <c r="G59" s="69"/>
      <c r="H59" s="3"/>
      <c r="I59" s="3"/>
      <c r="J59" s="3"/>
      <c r="K59" s="3"/>
      <c r="L59" s="3"/>
    </row>
    <row r="60" spans="1:12" ht="25.5" x14ac:dyDescent="0.2">
      <c r="A60" s="66">
        <v>51</v>
      </c>
      <c r="B60" s="72" t="s">
        <v>12</v>
      </c>
      <c r="C60" s="44">
        <f t="shared" si="0"/>
        <v>1.6</v>
      </c>
      <c r="D60" s="44">
        <v>0.1</v>
      </c>
      <c r="E60" s="68">
        <v>1.5</v>
      </c>
      <c r="F60" s="44"/>
      <c r="G60" s="69"/>
      <c r="H60" s="3"/>
      <c r="I60" s="3"/>
      <c r="J60" s="3"/>
      <c r="K60" s="3"/>
      <c r="L60" s="3"/>
    </row>
    <row r="61" spans="1:12" ht="25.5" x14ac:dyDescent="0.2">
      <c r="A61" s="66">
        <v>52</v>
      </c>
      <c r="B61" s="72" t="s">
        <v>11</v>
      </c>
      <c r="C61" s="44">
        <f t="shared" si="0"/>
        <v>3.7</v>
      </c>
      <c r="D61" s="44">
        <v>2.6</v>
      </c>
      <c r="E61" s="68">
        <v>1.1000000000000001</v>
      </c>
      <c r="F61" s="44"/>
      <c r="G61" s="69"/>
      <c r="H61" s="3"/>
      <c r="I61" s="3"/>
      <c r="J61" s="3"/>
      <c r="K61" s="3"/>
      <c r="L61" s="3"/>
    </row>
    <row r="62" spans="1:12" ht="25.5" x14ac:dyDescent="0.2">
      <c r="A62" s="66">
        <v>53</v>
      </c>
      <c r="B62" s="72" t="s">
        <v>13</v>
      </c>
      <c r="C62" s="44">
        <f t="shared" si="0"/>
        <v>1.9</v>
      </c>
      <c r="D62" s="44">
        <f>2-1.1</f>
        <v>0.89999999999999991</v>
      </c>
      <c r="E62" s="68">
        <f>2-1</f>
        <v>1</v>
      </c>
      <c r="F62" s="44"/>
      <c r="G62" s="69"/>
      <c r="H62" s="3"/>
      <c r="I62" s="3"/>
      <c r="J62" s="3"/>
      <c r="K62" s="3"/>
      <c r="L62" s="3"/>
    </row>
    <row r="63" spans="1:12" ht="25.5" x14ac:dyDescent="0.2">
      <c r="A63" s="66">
        <v>54</v>
      </c>
      <c r="B63" s="72" t="s">
        <v>14</v>
      </c>
      <c r="C63" s="44">
        <f t="shared" si="0"/>
        <v>2</v>
      </c>
      <c r="D63" s="44"/>
      <c r="E63" s="68">
        <v>2</v>
      </c>
      <c r="F63" s="44"/>
      <c r="G63" s="69"/>
      <c r="H63" s="3"/>
      <c r="I63" s="3"/>
      <c r="J63" s="3"/>
      <c r="K63" s="3"/>
      <c r="L63" s="3"/>
    </row>
    <row r="64" spans="1:12" x14ac:dyDescent="0.2">
      <c r="A64" s="66">
        <v>55</v>
      </c>
      <c r="B64" s="78" t="s">
        <v>110</v>
      </c>
      <c r="C64" s="79">
        <f>+E64+D64+F64+G64</f>
        <v>2816</v>
      </c>
      <c r="D64" s="79">
        <f>SUM(D10:D63)</f>
        <v>381.79999999999995</v>
      </c>
      <c r="E64" s="79">
        <f>SUM(E10:E63)</f>
        <v>202.4</v>
      </c>
      <c r="F64" s="79">
        <f>SUM(F10:F63)</f>
        <v>2131.8000000000002</v>
      </c>
      <c r="G64" s="79">
        <f>SUM(G10:G63)</f>
        <v>100</v>
      </c>
      <c r="H64" s="3"/>
      <c r="I64" s="3"/>
      <c r="J64" s="3"/>
      <c r="K64" s="3"/>
      <c r="L64" s="3"/>
    </row>
    <row r="65" spans="1:7" x14ac:dyDescent="0.2">
      <c r="E65" s="8"/>
    </row>
    <row r="66" spans="1:7" x14ac:dyDescent="0.2">
      <c r="A66" s="265" t="s">
        <v>111</v>
      </c>
      <c r="B66" s="265"/>
      <c r="C66" s="265"/>
      <c r="D66" s="265"/>
      <c r="E66" s="265"/>
      <c r="F66" s="265"/>
    </row>
    <row r="67" spans="1:7" x14ac:dyDescent="0.2">
      <c r="C67" s="3"/>
      <c r="D67" s="3"/>
      <c r="E67" s="8"/>
      <c r="F67" s="3"/>
    </row>
    <row r="68" spans="1:7" x14ac:dyDescent="0.2">
      <c r="C68" s="9"/>
      <c r="D68" s="3"/>
      <c r="E68" s="3"/>
      <c r="F68" s="3"/>
      <c r="G68" s="3"/>
    </row>
    <row r="69" spans="1:7" x14ac:dyDescent="0.2">
      <c r="C69" s="9"/>
      <c r="D69" s="3"/>
      <c r="E69" s="3"/>
      <c r="F69" s="3"/>
      <c r="G69" s="3"/>
    </row>
    <row r="70" spans="1:7" x14ac:dyDescent="0.2">
      <c r="C70" s="3"/>
      <c r="D70" s="3"/>
      <c r="E70" s="3"/>
      <c r="F70" s="3"/>
    </row>
    <row r="74" spans="1:7" x14ac:dyDescent="0.2">
      <c r="B74" s="10"/>
    </row>
  </sheetData>
  <mergeCells count="10">
    <mergeCell ref="B1:G1"/>
    <mergeCell ref="B2:G2"/>
    <mergeCell ref="E3:G3"/>
    <mergeCell ref="A66:F66"/>
    <mergeCell ref="A5:F5"/>
    <mergeCell ref="A7:A8"/>
    <mergeCell ref="B7:B8"/>
    <mergeCell ref="C7:C8"/>
    <mergeCell ref="D7:G7"/>
    <mergeCell ref="F6:G6"/>
  </mergeCells>
  <pageMargins left="0.59055118110236227" right="0" top="0.78740157480314965" bottom="0.78740157480314965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342"/>
  <sheetViews>
    <sheetView zoomScaleNormal="100" workbookViewId="0">
      <selection activeCell="D3" sqref="D3"/>
    </sheetView>
  </sheetViews>
  <sheetFormatPr defaultColWidth="9.140625" defaultRowHeight="12.75" x14ac:dyDescent="0.2"/>
  <cols>
    <col min="1" max="1" width="5.85546875" style="107" customWidth="1"/>
    <col min="2" max="2" width="7.42578125" style="108" customWidth="1"/>
    <col min="3" max="3" width="70" style="111" customWidth="1"/>
    <col min="4" max="4" width="9.7109375" style="111" customWidth="1"/>
    <col min="5" max="10" width="9.140625" style="109" customWidth="1"/>
    <col min="11" max="16384" width="9.140625" style="109"/>
  </cols>
  <sheetData>
    <row r="1" spans="1:9" ht="15.75" customHeight="1" x14ac:dyDescent="0.25">
      <c r="C1" s="288" t="s">
        <v>209</v>
      </c>
      <c r="D1" s="288"/>
    </row>
    <row r="2" spans="1:9" ht="15.75" x14ac:dyDescent="0.25">
      <c r="C2" s="289" t="s">
        <v>794</v>
      </c>
      <c r="D2" s="289"/>
    </row>
    <row r="3" spans="1:9" ht="14.25" customHeight="1" x14ac:dyDescent="0.2">
      <c r="B3" s="110"/>
      <c r="D3" s="112" t="s">
        <v>67</v>
      </c>
      <c r="I3" s="113"/>
    </row>
    <row r="4" spans="1:9" ht="15.75" x14ac:dyDescent="0.2">
      <c r="B4" s="110"/>
      <c r="D4" s="112"/>
    </row>
    <row r="5" spans="1:9" ht="25.5" customHeight="1" x14ac:dyDescent="0.2">
      <c r="A5" s="290" t="s">
        <v>234</v>
      </c>
      <c r="B5" s="290"/>
      <c r="C5" s="290"/>
      <c r="D5" s="290"/>
    </row>
    <row r="6" spans="1:9" x14ac:dyDescent="0.2">
      <c r="A6" s="114"/>
      <c r="B6" s="114"/>
      <c r="C6" s="114"/>
      <c r="D6" s="114"/>
    </row>
    <row r="7" spans="1:9" x14ac:dyDescent="0.2">
      <c r="B7" s="110"/>
      <c r="D7" s="115" t="s">
        <v>71</v>
      </c>
    </row>
    <row r="8" spans="1:9" ht="43.5" customHeight="1" x14ac:dyDescent="0.2">
      <c r="A8" s="116" t="s">
        <v>68</v>
      </c>
      <c r="B8" s="117" t="s">
        <v>186</v>
      </c>
      <c r="C8" s="116" t="s">
        <v>16</v>
      </c>
      <c r="D8" s="116" t="s">
        <v>17</v>
      </c>
      <c r="E8" s="118"/>
    </row>
    <row r="9" spans="1:9" x14ac:dyDescent="0.2">
      <c r="A9" s="119">
        <v>1</v>
      </c>
      <c r="B9" s="120" t="s">
        <v>18</v>
      </c>
      <c r="C9" s="116">
        <v>3</v>
      </c>
      <c r="D9" s="116">
        <v>4</v>
      </c>
      <c r="E9" s="118"/>
    </row>
    <row r="10" spans="1:9" x14ac:dyDescent="0.2">
      <c r="A10" s="121">
        <v>1</v>
      </c>
      <c r="B10" s="120" t="s">
        <v>47</v>
      </c>
      <c r="C10" s="122" t="s">
        <v>48</v>
      </c>
      <c r="D10" s="123">
        <f>+D11+D12+D13+D14+D15+D16+D17+D18+D19+D20+D21+D22+D23+D24+D25+D26+D27+D28+D29+D30+D31+D32+D33+D34+D35+D36+D38+D39+D40</f>
        <v>17247.500000000004</v>
      </c>
      <c r="E10" s="118"/>
      <c r="F10" s="124"/>
      <c r="G10" s="124"/>
      <c r="H10" s="124"/>
    </row>
    <row r="11" spans="1:9" ht="12.6" customHeight="1" x14ac:dyDescent="0.2">
      <c r="A11" s="121">
        <v>2</v>
      </c>
      <c r="B11" s="125"/>
      <c r="C11" s="126" t="s">
        <v>88</v>
      </c>
      <c r="D11" s="127">
        <f>499.7+7.3</f>
        <v>507</v>
      </c>
      <c r="E11" s="118"/>
    </row>
    <row r="12" spans="1:9" ht="12.6" customHeight="1" x14ac:dyDescent="0.2">
      <c r="A12" s="121">
        <v>3</v>
      </c>
      <c r="B12" s="125"/>
      <c r="C12" s="126" t="s">
        <v>79</v>
      </c>
      <c r="D12" s="127">
        <f>532.7+5+8.8</f>
        <v>546.5</v>
      </c>
      <c r="E12" s="118"/>
    </row>
    <row r="13" spans="1:9" ht="12.6" customHeight="1" x14ac:dyDescent="0.2">
      <c r="A13" s="121">
        <v>4</v>
      </c>
      <c r="B13" s="125"/>
      <c r="C13" s="126" t="s">
        <v>80</v>
      </c>
      <c r="D13" s="127">
        <f>530.6+3.5</f>
        <v>534.1</v>
      </c>
      <c r="E13" s="118"/>
    </row>
    <row r="14" spans="1:9" ht="12.6" customHeight="1" x14ac:dyDescent="0.2">
      <c r="A14" s="121">
        <v>5</v>
      </c>
      <c r="B14" s="125"/>
      <c r="C14" s="126" t="s">
        <v>84</v>
      </c>
      <c r="D14" s="127">
        <f>536.9+5.4+7</f>
        <v>549.29999999999995</v>
      </c>
      <c r="E14" s="118"/>
    </row>
    <row r="15" spans="1:9" ht="12.6" customHeight="1" x14ac:dyDescent="0.2">
      <c r="A15" s="121">
        <v>6</v>
      </c>
      <c r="B15" s="125"/>
      <c r="C15" s="126" t="s">
        <v>81</v>
      </c>
      <c r="D15" s="127">
        <f>492.5+1.9+8</f>
        <v>502.4</v>
      </c>
      <c r="E15" s="118"/>
    </row>
    <row r="16" spans="1:9" ht="12.6" customHeight="1" x14ac:dyDescent="0.2">
      <c r="A16" s="121">
        <v>7</v>
      </c>
      <c r="B16" s="125"/>
      <c r="C16" s="126" t="s">
        <v>82</v>
      </c>
      <c r="D16" s="127">
        <f>596.9+7.2</f>
        <v>604.1</v>
      </c>
      <c r="E16" s="118"/>
    </row>
    <row r="17" spans="1:5" ht="12.6" customHeight="1" x14ac:dyDescent="0.2">
      <c r="A17" s="121">
        <v>8</v>
      </c>
      <c r="B17" s="125"/>
      <c r="C17" s="126" t="s">
        <v>83</v>
      </c>
      <c r="D17" s="127">
        <f>563.6+5.5</f>
        <v>569.1</v>
      </c>
      <c r="E17" s="118"/>
    </row>
    <row r="18" spans="1:5" ht="12.6" customHeight="1" x14ac:dyDescent="0.2">
      <c r="A18" s="121">
        <v>9</v>
      </c>
      <c r="B18" s="125"/>
      <c r="C18" s="128" t="s">
        <v>95</v>
      </c>
      <c r="D18" s="127">
        <f>498.9+1.9</f>
        <v>500.79999999999995</v>
      </c>
      <c r="E18" s="118"/>
    </row>
    <row r="19" spans="1:5" ht="12.6" customHeight="1" x14ac:dyDescent="0.2">
      <c r="A19" s="121">
        <v>10</v>
      </c>
      <c r="B19" s="125"/>
      <c r="C19" s="126" t="s">
        <v>87</v>
      </c>
      <c r="D19" s="127">
        <v>509.1</v>
      </c>
      <c r="E19" s="118"/>
    </row>
    <row r="20" spans="1:5" x14ac:dyDescent="0.2">
      <c r="A20" s="121">
        <v>11</v>
      </c>
      <c r="B20" s="125"/>
      <c r="C20" s="126" t="s">
        <v>38</v>
      </c>
      <c r="D20" s="127">
        <f>502.8+5.9+5.4</f>
        <v>514.1</v>
      </c>
      <c r="E20" s="118"/>
    </row>
    <row r="21" spans="1:5" ht="12.6" customHeight="1" x14ac:dyDescent="0.2">
      <c r="A21" s="121">
        <v>12</v>
      </c>
      <c r="B21" s="125"/>
      <c r="C21" s="128" t="s">
        <v>73</v>
      </c>
      <c r="D21" s="127">
        <f>1240.9+5+23.1</f>
        <v>1269</v>
      </c>
      <c r="E21" s="118"/>
    </row>
    <row r="22" spans="1:5" ht="12.6" customHeight="1" x14ac:dyDescent="0.2">
      <c r="A22" s="121">
        <v>13</v>
      </c>
      <c r="B22" s="125"/>
      <c r="C22" s="128" t="s">
        <v>74</v>
      </c>
      <c r="D22" s="127">
        <f>452.4+7.7</f>
        <v>460.09999999999997</v>
      </c>
      <c r="E22" s="118"/>
    </row>
    <row r="23" spans="1:5" ht="12.6" customHeight="1" x14ac:dyDescent="0.2">
      <c r="A23" s="121">
        <v>14</v>
      </c>
      <c r="B23" s="125"/>
      <c r="C23" s="128" t="s">
        <v>32</v>
      </c>
      <c r="D23" s="127">
        <v>974.3</v>
      </c>
      <c r="E23" s="118"/>
    </row>
    <row r="24" spans="1:5" ht="12.6" customHeight="1" x14ac:dyDescent="0.2">
      <c r="A24" s="121">
        <v>15</v>
      </c>
      <c r="B24" s="125"/>
      <c r="C24" s="126" t="s">
        <v>76</v>
      </c>
      <c r="D24" s="127">
        <f>742.2+26.9+2.6+2.8+8</f>
        <v>782.5</v>
      </c>
      <c r="E24" s="118"/>
    </row>
    <row r="25" spans="1:5" ht="12.6" customHeight="1" x14ac:dyDescent="0.2">
      <c r="A25" s="121">
        <v>16</v>
      </c>
      <c r="B25" s="125"/>
      <c r="C25" s="128" t="s">
        <v>85</v>
      </c>
      <c r="D25" s="127">
        <f>658+13+4.4+1.8</f>
        <v>677.19999999999993</v>
      </c>
      <c r="E25" s="118"/>
    </row>
    <row r="26" spans="1:5" ht="12.6" customHeight="1" x14ac:dyDescent="0.2">
      <c r="A26" s="121">
        <v>17</v>
      </c>
      <c r="B26" s="125"/>
      <c r="C26" s="126" t="s">
        <v>86</v>
      </c>
      <c r="D26" s="127">
        <f>516.6+1.8</f>
        <v>518.4</v>
      </c>
      <c r="E26" s="118"/>
    </row>
    <row r="27" spans="1:5" ht="12.6" customHeight="1" x14ac:dyDescent="0.2">
      <c r="A27" s="121">
        <v>18</v>
      </c>
      <c r="B27" s="125"/>
      <c r="C27" s="129" t="s">
        <v>539</v>
      </c>
      <c r="D27" s="127">
        <f>526+3.8</f>
        <v>529.79999999999995</v>
      </c>
      <c r="E27" s="118"/>
    </row>
    <row r="28" spans="1:5" ht="12.6" customHeight="1" x14ac:dyDescent="0.2">
      <c r="A28" s="121">
        <v>19</v>
      </c>
      <c r="B28" s="125"/>
      <c r="C28" s="128" t="s">
        <v>33</v>
      </c>
      <c r="D28" s="127">
        <v>326.10000000000002</v>
      </c>
      <c r="E28" s="118"/>
    </row>
    <row r="29" spans="1:5" ht="12.6" customHeight="1" x14ac:dyDescent="0.2">
      <c r="A29" s="121">
        <v>20</v>
      </c>
      <c r="B29" s="125"/>
      <c r="C29" s="128" t="s">
        <v>75</v>
      </c>
      <c r="D29" s="127">
        <f>876.1+15</f>
        <v>891.1</v>
      </c>
      <c r="E29" s="118"/>
    </row>
    <row r="30" spans="1:5" ht="12.6" customHeight="1" x14ac:dyDescent="0.2">
      <c r="A30" s="121">
        <v>21</v>
      </c>
      <c r="B30" s="125"/>
      <c r="C30" s="128" t="s">
        <v>34</v>
      </c>
      <c r="D30" s="127">
        <v>319</v>
      </c>
      <c r="E30" s="118"/>
    </row>
    <row r="31" spans="1:5" x14ac:dyDescent="0.2">
      <c r="A31" s="121">
        <v>22</v>
      </c>
      <c r="B31" s="125"/>
      <c r="C31" s="128" t="s">
        <v>64</v>
      </c>
      <c r="D31" s="127">
        <f>559.7</f>
        <v>559.70000000000005</v>
      </c>
      <c r="E31" s="118"/>
    </row>
    <row r="32" spans="1:5" ht="12.6" customHeight="1" x14ac:dyDescent="0.2">
      <c r="A32" s="121">
        <v>23</v>
      </c>
      <c r="B32" s="125"/>
      <c r="C32" s="130" t="s">
        <v>185</v>
      </c>
      <c r="D32" s="127">
        <f>1.9+67</f>
        <v>68.900000000000006</v>
      </c>
      <c r="E32" s="118"/>
    </row>
    <row r="33" spans="1:5" ht="12.6" customHeight="1" x14ac:dyDescent="0.2">
      <c r="A33" s="121">
        <v>24</v>
      </c>
      <c r="B33" s="125"/>
      <c r="C33" s="126" t="s">
        <v>46</v>
      </c>
      <c r="D33" s="127">
        <f>447.2+2.6+0.8</f>
        <v>450.6</v>
      </c>
      <c r="E33" s="118"/>
    </row>
    <row r="34" spans="1:5" ht="12.6" customHeight="1" x14ac:dyDescent="0.2">
      <c r="A34" s="121">
        <v>25</v>
      </c>
      <c r="B34" s="125"/>
      <c r="C34" s="126" t="s">
        <v>39</v>
      </c>
      <c r="D34" s="127">
        <v>442.5</v>
      </c>
      <c r="E34" s="118"/>
    </row>
    <row r="35" spans="1:5" ht="12.6" customHeight="1" x14ac:dyDescent="0.2">
      <c r="A35" s="121">
        <v>26</v>
      </c>
      <c r="B35" s="125"/>
      <c r="C35" s="126" t="s">
        <v>40</v>
      </c>
      <c r="D35" s="127">
        <v>1171</v>
      </c>
      <c r="E35" s="118"/>
    </row>
    <row r="36" spans="1:5" ht="14.25" customHeight="1" x14ac:dyDescent="0.2">
      <c r="A36" s="277">
        <v>27</v>
      </c>
      <c r="B36" s="275"/>
      <c r="C36" s="126" t="s">
        <v>72</v>
      </c>
      <c r="D36" s="127">
        <f>158.2+30</f>
        <v>188.2</v>
      </c>
      <c r="E36" s="118"/>
    </row>
    <row r="37" spans="1:5" x14ac:dyDescent="0.2">
      <c r="A37" s="278"/>
      <c r="B37" s="276"/>
      <c r="C37" s="132" t="s">
        <v>203</v>
      </c>
      <c r="D37" s="127">
        <v>30</v>
      </c>
      <c r="E37" s="118"/>
    </row>
    <row r="38" spans="1:5" ht="12.6" customHeight="1" x14ac:dyDescent="0.2">
      <c r="A38" s="121">
        <v>28</v>
      </c>
      <c r="B38" s="125"/>
      <c r="C38" s="133" t="s">
        <v>15</v>
      </c>
      <c r="D38" s="127">
        <v>185.4</v>
      </c>
      <c r="E38" s="118"/>
    </row>
    <row r="39" spans="1:5" ht="12.6" customHeight="1" x14ac:dyDescent="0.2">
      <c r="A39" s="121">
        <v>29</v>
      </c>
      <c r="B39" s="125"/>
      <c r="C39" s="133" t="s">
        <v>19</v>
      </c>
      <c r="D39" s="127">
        <v>187.5</v>
      </c>
      <c r="E39" s="118"/>
    </row>
    <row r="40" spans="1:5" ht="12.6" customHeight="1" x14ac:dyDescent="0.2">
      <c r="A40" s="121">
        <v>30</v>
      </c>
      <c r="B40" s="125"/>
      <c r="C40" s="134" t="s">
        <v>89</v>
      </c>
      <c r="D40" s="135">
        <f>+D41+D49+D45+D44+D46+D42+D47+D43+D48</f>
        <v>1909.6999999999998</v>
      </c>
      <c r="E40" s="118"/>
    </row>
    <row r="41" spans="1:5" ht="15" customHeight="1" x14ac:dyDescent="0.2">
      <c r="A41" s="136" t="s">
        <v>356</v>
      </c>
      <c r="B41" s="125"/>
      <c r="C41" s="126" t="s">
        <v>3</v>
      </c>
      <c r="D41" s="135">
        <f>3+18.1</f>
        <v>21.1</v>
      </c>
      <c r="E41" s="118"/>
    </row>
    <row r="42" spans="1:5" ht="15" customHeight="1" x14ac:dyDescent="0.2">
      <c r="A42" s="136" t="s">
        <v>357</v>
      </c>
      <c r="B42" s="125"/>
      <c r="C42" s="126" t="s">
        <v>808</v>
      </c>
      <c r="D42" s="135">
        <v>50</v>
      </c>
      <c r="E42" s="118"/>
    </row>
    <row r="43" spans="1:5" ht="15" customHeight="1" x14ac:dyDescent="0.2">
      <c r="A43" s="136" t="s">
        <v>358</v>
      </c>
      <c r="B43" s="125"/>
      <c r="C43" s="126" t="s">
        <v>352</v>
      </c>
      <c r="D43" s="135">
        <f>22-13</f>
        <v>9</v>
      </c>
      <c r="E43" s="118"/>
    </row>
    <row r="44" spans="1:5" x14ac:dyDescent="0.2">
      <c r="A44" s="136" t="s">
        <v>359</v>
      </c>
      <c r="B44" s="125"/>
      <c r="C44" s="132" t="s">
        <v>155</v>
      </c>
      <c r="D44" s="135">
        <v>70</v>
      </c>
      <c r="E44" s="118"/>
    </row>
    <row r="45" spans="1:5" x14ac:dyDescent="0.2">
      <c r="A45" s="136" t="s">
        <v>360</v>
      </c>
      <c r="B45" s="125"/>
      <c r="C45" s="128" t="s">
        <v>238</v>
      </c>
      <c r="D45" s="135">
        <v>123</v>
      </c>
      <c r="E45" s="118"/>
    </row>
    <row r="46" spans="1:5" ht="12.6" customHeight="1" x14ac:dyDescent="0.2">
      <c r="A46" s="136" t="s">
        <v>361</v>
      </c>
      <c r="B46" s="125"/>
      <c r="C46" s="132" t="s">
        <v>239</v>
      </c>
      <c r="D46" s="135">
        <f>20+6.5</f>
        <v>26.5</v>
      </c>
      <c r="E46" s="118"/>
    </row>
    <row r="47" spans="1:5" ht="25.5" customHeight="1" x14ac:dyDescent="0.2">
      <c r="A47" s="136" t="s">
        <v>362</v>
      </c>
      <c r="B47" s="125"/>
      <c r="C47" s="134" t="s">
        <v>240</v>
      </c>
      <c r="D47" s="135">
        <v>57.7</v>
      </c>
      <c r="E47" s="118"/>
    </row>
    <row r="48" spans="1:5" x14ac:dyDescent="0.2">
      <c r="A48" s="136" t="s">
        <v>363</v>
      </c>
      <c r="B48" s="125"/>
      <c r="C48" s="134" t="s">
        <v>627</v>
      </c>
      <c r="D48" s="135">
        <v>37</v>
      </c>
      <c r="E48" s="118"/>
    </row>
    <row r="49" spans="1:8" ht="27" x14ac:dyDescent="0.2">
      <c r="A49" s="136" t="s">
        <v>614</v>
      </c>
      <c r="B49" s="125"/>
      <c r="C49" s="137" t="s">
        <v>232</v>
      </c>
      <c r="D49" s="138">
        <f>SUM(D50:D62)</f>
        <v>1515.3999999999999</v>
      </c>
      <c r="E49" s="118"/>
    </row>
    <row r="50" spans="1:8" x14ac:dyDescent="0.2">
      <c r="A50" s="136" t="s">
        <v>615</v>
      </c>
      <c r="B50" s="125"/>
      <c r="C50" s="139" t="s">
        <v>241</v>
      </c>
      <c r="D50" s="135">
        <v>150</v>
      </c>
      <c r="E50" s="118"/>
    </row>
    <row r="51" spans="1:8" ht="25.5" x14ac:dyDescent="0.2">
      <c r="A51" s="136" t="s">
        <v>616</v>
      </c>
      <c r="B51" s="125"/>
      <c r="C51" s="103" t="s">
        <v>242</v>
      </c>
      <c r="D51" s="135">
        <v>35</v>
      </c>
      <c r="E51" s="118"/>
    </row>
    <row r="52" spans="1:8" x14ac:dyDescent="0.2">
      <c r="A52" s="136" t="s">
        <v>617</v>
      </c>
      <c r="B52" s="125"/>
      <c r="C52" s="140" t="s">
        <v>243</v>
      </c>
      <c r="D52" s="141">
        <v>100</v>
      </c>
      <c r="E52" s="118"/>
    </row>
    <row r="53" spans="1:8" x14ac:dyDescent="0.2">
      <c r="A53" s="136" t="s">
        <v>618</v>
      </c>
      <c r="B53" s="125"/>
      <c r="C53" s="140" t="s">
        <v>244</v>
      </c>
      <c r="D53" s="135">
        <v>400</v>
      </c>
      <c r="E53" s="118"/>
    </row>
    <row r="54" spans="1:8" ht="25.5" x14ac:dyDescent="0.2">
      <c r="A54" s="136" t="s">
        <v>619</v>
      </c>
      <c r="B54" s="125"/>
      <c r="C54" s="142" t="s">
        <v>245</v>
      </c>
      <c r="D54" s="135">
        <f>150+30.6+0.6</f>
        <v>181.2</v>
      </c>
      <c r="E54" s="118"/>
      <c r="G54" s="284"/>
      <c r="H54" s="284"/>
    </row>
    <row r="55" spans="1:8" ht="25.5" x14ac:dyDescent="0.2">
      <c r="A55" s="136" t="s">
        <v>620</v>
      </c>
      <c r="B55" s="125"/>
      <c r="C55" s="142" t="s">
        <v>246</v>
      </c>
      <c r="D55" s="135">
        <f>300-30.6</f>
        <v>269.39999999999998</v>
      </c>
      <c r="E55" s="118"/>
    </row>
    <row r="56" spans="1:8" x14ac:dyDescent="0.2">
      <c r="A56" s="136" t="s">
        <v>621</v>
      </c>
      <c r="B56" s="125"/>
      <c r="C56" s="142" t="s">
        <v>247</v>
      </c>
      <c r="D56" s="135">
        <v>145</v>
      </c>
      <c r="E56" s="118"/>
    </row>
    <row r="57" spans="1:8" ht="25.5" x14ac:dyDescent="0.2">
      <c r="A57" s="136" t="s">
        <v>622</v>
      </c>
      <c r="B57" s="125"/>
      <c r="C57" s="142" t="s">
        <v>248</v>
      </c>
      <c r="D57" s="135">
        <v>30</v>
      </c>
      <c r="E57" s="118"/>
    </row>
    <row r="58" spans="1:8" x14ac:dyDescent="0.2">
      <c r="A58" s="136" t="s">
        <v>623</v>
      </c>
      <c r="B58" s="143"/>
      <c r="C58" s="103" t="s">
        <v>251</v>
      </c>
      <c r="D58" s="144">
        <v>30</v>
      </c>
      <c r="E58" s="118"/>
    </row>
    <row r="59" spans="1:8" ht="25.5" x14ac:dyDescent="0.2">
      <c r="A59" s="136" t="s">
        <v>624</v>
      </c>
      <c r="B59" s="125"/>
      <c r="C59" s="142" t="s">
        <v>249</v>
      </c>
      <c r="D59" s="135">
        <v>50</v>
      </c>
      <c r="E59" s="118"/>
    </row>
    <row r="60" spans="1:8" x14ac:dyDescent="0.2">
      <c r="A60" s="136" t="s">
        <v>625</v>
      </c>
      <c r="B60" s="125"/>
      <c r="C60" s="142" t="s">
        <v>250</v>
      </c>
      <c r="D60" s="135">
        <v>70</v>
      </c>
      <c r="E60" s="118"/>
    </row>
    <row r="61" spans="1:8" ht="25.5" x14ac:dyDescent="0.2">
      <c r="A61" s="136" t="s">
        <v>626</v>
      </c>
      <c r="B61" s="125"/>
      <c r="C61" s="132" t="s">
        <v>252</v>
      </c>
      <c r="D61" s="135">
        <v>40</v>
      </c>
      <c r="E61" s="118"/>
    </row>
    <row r="62" spans="1:8" ht="25.5" x14ac:dyDescent="0.2">
      <c r="A62" s="136" t="s">
        <v>802</v>
      </c>
      <c r="B62" s="125"/>
      <c r="C62" s="132" t="s">
        <v>628</v>
      </c>
      <c r="D62" s="135">
        <v>14.8</v>
      </c>
      <c r="E62" s="118"/>
    </row>
    <row r="63" spans="1:8" x14ac:dyDescent="0.2">
      <c r="A63" s="121">
        <v>31</v>
      </c>
      <c r="B63" s="120" t="s">
        <v>49</v>
      </c>
      <c r="C63" s="145" t="s">
        <v>50</v>
      </c>
      <c r="D63" s="146">
        <f>+D64+D66</f>
        <v>1020.9000000000001</v>
      </c>
      <c r="E63" s="118"/>
    </row>
    <row r="64" spans="1:8" x14ac:dyDescent="0.2">
      <c r="A64" s="273">
        <v>32</v>
      </c>
      <c r="B64" s="120"/>
      <c r="C64" s="128" t="s">
        <v>90</v>
      </c>
      <c r="D64" s="127">
        <f>112.5+62+D65</f>
        <v>175.3</v>
      </c>
      <c r="E64" s="118"/>
    </row>
    <row r="65" spans="1:5" ht="25.5" x14ac:dyDescent="0.2">
      <c r="A65" s="285"/>
      <c r="B65" s="120"/>
      <c r="C65" s="148" t="s">
        <v>253</v>
      </c>
      <c r="D65" s="127">
        <v>0.8</v>
      </c>
      <c r="E65" s="118"/>
    </row>
    <row r="66" spans="1:5" ht="12.6" customHeight="1" x14ac:dyDescent="0.2">
      <c r="A66" s="121">
        <v>33</v>
      </c>
      <c r="B66" s="125"/>
      <c r="C66" s="134" t="s">
        <v>89</v>
      </c>
      <c r="D66" s="127">
        <f>SUM(D67:D89)</f>
        <v>845.60000000000014</v>
      </c>
      <c r="E66" s="118"/>
    </row>
    <row r="67" spans="1:5" ht="12.6" customHeight="1" x14ac:dyDescent="0.2">
      <c r="A67" s="136" t="s">
        <v>364</v>
      </c>
      <c r="B67" s="125"/>
      <c r="C67" s="126" t="s">
        <v>3</v>
      </c>
      <c r="D67" s="127">
        <v>3</v>
      </c>
      <c r="E67" s="118"/>
    </row>
    <row r="68" spans="1:5" ht="25.5" x14ac:dyDescent="0.2">
      <c r="A68" s="136" t="s">
        <v>365</v>
      </c>
      <c r="B68" s="125"/>
      <c r="C68" s="140" t="s">
        <v>236</v>
      </c>
      <c r="D68" s="127">
        <v>10</v>
      </c>
      <c r="E68" s="118"/>
    </row>
    <row r="69" spans="1:5" ht="25.5" x14ac:dyDescent="0.2">
      <c r="A69" s="136" t="s">
        <v>366</v>
      </c>
      <c r="B69" s="125"/>
      <c r="C69" s="140" t="s">
        <v>237</v>
      </c>
      <c r="D69" s="127">
        <v>10</v>
      </c>
      <c r="E69" s="118"/>
    </row>
    <row r="70" spans="1:5" ht="25.5" x14ac:dyDescent="0.2">
      <c r="A70" s="136" t="s">
        <v>367</v>
      </c>
      <c r="B70" s="125"/>
      <c r="C70" s="140" t="s">
        <v>601</v>
      </c>
      <c r="D70" s="127">
        <v>3</v>
      </c>
      <c r="E70" s="118"/>
    </row>
    <row r="71" spans="1:5" x14ac:dyDescent="0.2">
      <c r="A71" s="136" t="s">
        <v>368</v>
      </c>
      <c r="B71" s="125"/>
      <c r="C71" s="140" t="s">
        <v>602</v>
      </c>
      <c r="D71" s="127">
        <v>7.8</v>
      </c>
      <c r="E71" s="118"/>
    </row>
    <row r="72" spans="1:5" ht="25.5" x14ac:dyDescent="0.2">
      <c r="A72" s="136" t="s">
        <v>369</v>
      </c>
      <c r="B72" s="125"/>
      <c r="C72" s="149" t="s">
        <v>803</v>
      </c>
      <c r="D72" s="127">
        <v>80.400000000000006</v>
      </c>
      <c r="E72" s="118"/>
    </row>
    <row r="73" spans="1:5" ht="25.5" x14ac:dyDescent="0.2">
      <c r="A73" s="136" t="s">
        <v>370</v>
      </c>
      <c r="B73" s="125"/>
      <c r="C73" s="149" t="s">
        <v>603</v>
      </c>
      <c r="D73" s="127">
        <v>3</v>
      </c>
      <c r="E73" s="118"/>
    </row>
    <row r="74" spans="1:5" ht="25.5" x14ac:dyDescent="0.2">
      <c r="A74" s="136" t="s">
        <v>371</v>
      </c>
      <c r="B74" s="125"/>
      <c r="C74" s="149" t="s">
        <v>604</v>
      </c>
      <c r="D74" s="127">
        <v>21</v>
      </c>
      <c r="E74" s="118"/>
    </row>
    <row r="75" spans="1:5" ht="25.5" x14ac:dyDescent="0.2">
      <c r="A75" s="136" t="s">
        <v>372</v>
      </c>
      <c r="B75" s="125"/>
      <c r="C75" s="149" t="s">
        <v>605</v>
      </c>
      <c r="D75" s="127">
        <v>19.100000000000001</v>
      </c>
      <c r="E75" s="118"/>
    </row>
    <row r="76" spans="1:5" ht="27.6" customHeight="1" x14ac:dyDescent="0.2">
      <c r="A76" s="136" t="s">
        <v>373</v>
      </c>
      <c r="B76" s="125"/>
      <c r="C76" s="140" t="s">
        <v>606</v>
      </c>
      <c r="D76" s="127">
        <v>25.3</v>
      </c>
      <c r="E76" s="118"/>
    </row>
    <row r="77" spans="1:5" ht="25.5" x14ac:dyDescent="0.2">
      <c r="A77" s="136" t="s">
        <v>374</v>
      </c>
      <c r="B77" s="125"/>
      <c r="C77" s="140" t="s">
        <v>607</v>
      </c>
      <c r="D77" s="127">
        <v>28.3</v>
      </c>
      <c r="E77" s="118"/>
    </row>
    <row r="78" spans="1:5" ht="25.5" x14ac:dyDescent="0.2">
      <c r="A78" s="136" t="s">
        <v>375</v>
      </c>
      <c r="B78" s="125"/>
      <c r="C78" s="140" t="s">
        <v>608</v>
      </c>
      <c r="D78" s="127">
        <v>52.1</v>
      </c>
      <c r="E78" s="118"/>
    </row>
    <row r="79" spans="1:5" x14ac:dyDescent="0.2">
      <c r="A79" s="136" t="s">
        <v>376</v>
      </c>
      <c r="B79" s="125"/>
      <c r="C79" s="149" t="s">
        <v>254</v>
      </c>
      <c r="D79" s="127">
        <v>31.4</v>
      </c>
      <c r="E79" s="118"/>
    </row>
    <row r="80" spans="1:5" x14ac:dyDescent="0.2">
      <c r="A80" s="136" t="s">
        <v>377</v>
      </c>
      <c r="B80" s="125"/>
      <c r="C80" s="149" t="s">
        <v>609</v>
      </c>
      <c r="D80" s="127">
        <v>23.6</v>
      </c>
      <c r="E80" s="118"/>
    </row>
    <row r="81" spans="1:5" x14ac:dyDescent="0.2">
      <c r="A81" s="136" t="s">
        <v>378</v>
      </c>
      <c r="B81" s="125"/>
      <c r="C81" s="149" t="s">
        <v>610</v>
      </c>
      <c r="D81" s="127">
        <v>57</v>
      </c>
      <c r="E81" s="118"/>
    </row>
    <row r="82" spans="1:5" ht="25.5" x14ac:dyDescent="0.2">
      <c r="A82" s="136" t="s">
        <v>379</v>
      </c>
      <c r="B82" s="125"/>
      <c r="C82" s="149" t="s">
        <v>255</v>
      </c>
      <c r="D82" s="127">
        <v>15.1</v>
      </c>
      <c r="E82" s="118"/>
    </row>
    <row r="83" spans="1:5" ht="13.5" customHeight="1" x14ac:dyDescent="0.2">
      <c r="A83" s="136" t="s">
        <v>380</v>
      </c>
      <c r="B83" s="125"/>
      <c r="C83" s="149" t="s">
        <v>256</v>
      </c>
      <c r="D83" s="127">
        <v>98</v>
      </c>
      <c r="E83" s="118"/>
    </row>
    <row r="84" spans="1:5" ht="25.5" x14ac:dyDescent="0.2">
      <c r="A84" s="136" t="s">
        <v>381</v>
      </c>
      <c r="B84" s="125"/>
      <c r="C84" s="149" t="s">
        <v>257</v>
      </c>
      <c r="D84" s="127">
        <v>85</v>
      </c>
      <c r="E84" s="118"/>
    </row>
    <row r="85" spans="1:5" ht="25.5" x14ac:dyDescent="0.2">
      <c r="A85" s="136" t="s">
        <v>382</v>
      </c>
      <c r="B85" s="125"/>
      <c r="C85" s="149" t="s">
        <v>258</v>
      </c>
      <c r="D85" s="127">
        <v>35</v>
      </c>
      <c r="E85" s="118"/>
    </row>
    <row r="86" spans="1:5" ht="25.5" x14ac:dyDescent="0.2">
      <c r="A86" s="136" t="s">
        <v>383</v>
      </c>
      <c r="B86" s="125"/>
      <c r="C86" s="149" t="s">
        <v>259</v>
      </c>
      <c r="D86" s="127">
        <v>23</v>
      </c>
      <c r="E86" s="118"/>
    </row>
    <row r="87" spans="1:5" ht="25.5" x14ac:dyDescent="0.2">
      <c r="A87" s="136" t="s">
        <v>384</v>
      </c>
      <c r="B87" s="125"/>
      <c r="C87" s="149" t="s">
        <v>260</v>
      </c>
      <c r="D87" s="127">
        <v>40</v>
      </c>
      <c r="E87" s="118"/>
    </row>
    <row r="88" spans="1:5" ht="25.5" x14ac:dyDescent="0.2">
      <c r="A88" s="136" t="s">
        <v>385</v>
      </c>
      <c r="B88" s="125"/>
      <c r="C88" s="149" t="s">
        <v>261</v>
      </c>
      <c r="D88" s="127">
        <v>37.700000000000003</v>
      </c>
      <c r="E88" s="118"/>
    </row>
    <row r="89" spans="1:5" x14ac:dyDescent="0.2">
      <c r="A89" s="136" t="s">
        <v>386</v>
      </c>
      <c r="B89" s="125"/>
      <c r="C89" s="150" t="s">
        <v>147</v>
      </c>
      <c r="D89" s="151">
        <v>136.80000000000001</v>
      </c>
      <c r="E89" s="118"/>
    </row>
    <row r="90" spans="1:5" x14ac:dyDescent="0.2">
      <c r="A90" s="121">
        <v>34</v>
      </c>
      <c r="B90" s="120" t="s">
        <v>21</v>
      </c>
      <c r="C90" s="145" t="s">
        <v>22</v>
      </c>
      <c r="D90" s="146">
        <f>+D91+D93+D94+D95+D96+D97+D120+D122+D124+D126+D127+D129+D130+D132+D134+D136+D138</f>
        <v>12152.800000000001</v>
      </c>
      <c r="E90" s="118"/>
    </row>
    <row r="91" spans="1:5" ht="12.6" customHeight="1" x14ac:dyDescent="0.2">
      <c r="A91" s="286">
        <v>35</v>
      </c>
      <c r="B91" s="287"/>
      <c r="C91" s="126" t="s">
        <v>1</v>
      </c>
      <c r="D91" s="127">
        <f>1577.8-56.5</f>
        <v>1521.3</v>
      </c>
      <c r="E91" s="118"/>
    </row>
    <row r="92" spans="1:5" ht="12.6" customHeight="1" x14ac:dyDescent="0.2">
      <c r="A92" s="286"/>
      <c r="B92" s="287"/>
      <c r="C92" s="152" t="s">
        <v>233</v>
      </c>
      <c r="D92" s="127">
        <v>245.5</v>
      </c>
      <c r="E92" s="118"/>
    </row>
    <row r="93" spans="1:5" ht="12.6" customHeight="1" x14ac:dyDescent="0.2">
      <c r="A93" s="121">
        <v>36</v>
      </c>
      <c r="B93" s="125"/>
      <c r="C93" s="153" t="s">
        <v>2</v>
      </c>
      <c r="D93" s="127">
        <f>365.9-2.6</f>
        <v>363.29999999999995</v>
      </c>
      <c r="E93" s="118"/>
    </row>
    <row r="94" spans="1:5" ht="12.6" customHeight="1" x14ac:dyDescent="0.2">
      <c r="A94" s="121">
        <v>37</v>
      </c>
      <c r="B94" s="125"/>
      <c r="C94" s="133" t="s">
        <v>15</v>
      </c>
      <c r="D94" s="127">
        <f>455-11.6+2.5</f>
        <v>445.9</v>
      </c>
      <c r="E94" s="118"/>
    </row>
    <row r="95" spans="1:5" ht="12.6" customHeight="1" x14ac:dyDescent="0.2">
      <c r="A95" s="121">
        <v>38</v>
      </c>
      <c r="B95" s="125"/>
      <c r="C95" s="133" t="s">
        <v>19</v>
      </c>
      <c r="D95" s="127">
        <f>459.3-8.5</f>
        <v>450.8</v>
      </c>
      <c r="E95" s="118"/>
    </row>
    <row r="96" spans="1:5" ht="12.6" customHeight="1" x14ac:dyDescent="0.2">
      <c r="A96" s="121">
        <v>39</v>
      </c>
      <c r="B96" s="125"/>
      <c r="C96" s="126" t="s">
        <v>78</v>
      </c>
      <c r="D96" s="127">
        <f>1710.5-52.8</f>
        <v>1657.7</v>
      </c>
      <c r="E96" s="118"/>
    </row>
    <row r="97" spans="1:5" ht="12" customHeight="1" x14ac:dyDescent="0.2">
      <c r="A97" s="121">
        <v>40</v>
      </c>
      <c r="B97" s="125"/>
      <c r="C97" s="134" t="s">
        <v>89</v>
      </c>
      <c r="D97" s="135">
        <f>SUM(D98:D113)+D114</f>
        <v>4291.7000000000007</v>
      </c>
      <c r="E97" s="118"/>
    </row>
    <row r="98" spans="1:5" x14ac:dyDescent="0.2">
      <c r="A98" s="136" t="s">
        <v>387</v>
      </c>
      <c r="B98" s="125"/>
      <c r="C98" s="134" t="s">
        <v>3</v>
      </c>
      <c r="D98" s="127">
        <f>1865.5+35+67.7+27+5</f>
        <v>2000.2</v>
      </c>
      <c r="E98" s="118"/>
    </row>
    <row r="99" spans="1:5" x14ac:dyDescent="0.2">
      <c r="A99" s="136" t="s">
        <v>388</v>
      </c>
      <c r="B99" s="125"/>
      <c r="C99" s="149" t="s">
        <v>267</v>
      </c>
      <c r="D99" s="127">
        <v>100</v>
      </c>
      <c r="E99" s="118"/>
    </row>
    <row r="100" spans="1:5" x14ac:dyDescent="0.2">
      <c r="A100" s="136" t="s">
        <v>389</v>
      </c>
      <c r="B100" s="125"/>
      <c r="C100" s="139" t="s">
        <v>353</v>
      </c>
      <c r="D100" s="127">
        <f>250.3-43.7</f>
        <v>206.60000000000002</v>
      </c>
      <c r="E100" s="118"/>
    </row>
    <row r="101" spans="1:5" x14ac:dyDescent="0.2">
      <c r="A101" s="136" t="s">
        <v>390</v>
      </c>
      <c r="B101" s="125"/>
      <c r="C101" s="103" t="s">
        <v>268</v>
      </c>
      <c r="D101" s="144">
        <f>800-3.3</f>
        <v>796.7</v>
      </c>
      <c r="E101" s="118"/>
    </row>
    <row r="102" spans="1:5" ht="12.6" customHeight="1" x14ac:dyDescent="0.2">
      <c r="A102" s="136" t="s">
        <v>391</v>
      </c>
      <c r="B102" s="125"/>
      <c r="C102" s="103" t="s">
        <v>269</v>
      </c>
      <c r="D102" s="127">
        <f>100-15</f>
        <v>85</v>
      </c>
      <c r="E102" s="118"/>
    </row>
    <row r="103" spans="1:5" ht="14.25" customHeight="1" x14ac:dyDescent="0.2">
      <c r="A103" s="136" t="s">
        <v>392</v>
      </c>
      <c r="B103" s="125"/>
      <c r="C103" s="103" t="s">
        <v>270</v>
      </c>
      <c r="D103" s="127">
        <f>161-6</f>
        <v>155</v>
      </c>
      <c r="E103" s="118"/>
    </row>
    <row r="104" spans="1:5" ht="25.5" x14ac:dyDescent="0.2">
      <c r="A104" s="136" t="s">
        <v>393</v>
      </c>
      <c r="B104" s="125"/>
      <c r="C104" s="103" t="s">
        <v>271</v>
      </c>
      <c r="D104" s="144">
        <f>30-8.7</f>
        <v>21.3</v>
      </c>
      <c r="E104" s="118"/>
    </row>
    <row r="105" spans="1:5" ht="14.25" customHeight="1" x14ac:dyDescent="0.2">
      <c r="A105" s="136" t="s">
        <v>394</v>
      </c>
      <c r="B105" s="125"/>
      <c r="C105" s="103" t="s">
        <v>272</v>
      </c>
      <c r="D105" s="144">
        <v>105</v>
      </c>
      <c r="E105" s="118"/>
    </row>
    <row r="106" spans="1:5" ht="25.5" x14ac:dyDescent="0.2">
      <c r="A106" s="136" t="s">
        <v>395</v>
      </c>
      <c r="B106" s="125"/>
      <c r="C106" s="103" t="s">
        <v>196</v>
      </c>
      <c r="D106" s="144">
        <v>15</v>
      </c>
      <c r="E106" s="118"/>
    </row>
    <row r="107" spans="1:5" x14ac:dyDescent="0.2">
      <c r="A107" s="136" t="s">
        <v>396</v>
      </c>
      <c r="B107" s="125"/>
      <c r="C107" s="103" t="s">
        <v>273</v>
      </c>
      <c r="D107" s="144">
        <v>51.9</v>
      </c>
      <c r="E107" s="118"/>
    </row>
    <row r="108" spans="1:5" x14ac:dyDescent="0.2">
      <c r="A108" s="136" t="s">
        <v>397</v>
      </c>
      <c r="B108" s="125"/>
      <c r="C108" s="103" t="s">
        <v>351</v>
      </c>
      <c r="D108" s="144">
        <v>40.299999999999997</v>
      </c>
      <c r="E108" s="118"/>
    </row>
    <row r="109" spans="1:5" x14ac:dyDescent="0.2">
      <c r="A109" s="136" t="s">
        <v>398</v>
      </c>
      <c r="B109" s="125"/>
      <c r="C109" s="103" t="s">
        <v>274</v>
      </c>
      <c r="D109" s="144">
        <f>144.3-26.3</f>
        <v>118.00000000000001</v>
      </c>
      <c r="E109" s="118"/>
    </row>
    <row r="110" spans="1:5" ht="27" customHeight="1" x14ac:dyDescent="0.2">
      <c r="A110" s="136" t="s">
        <v>399</v>
      </c>
      <c r="B110" s="125"/>
      <c r="C110" s="103" t="s">
        <v>276</v>
      </c>
      <c r="D110" s="144">
        <v>19</v>
      </c>
      <c r="E110" s="118"/>
    </row>
    <row r="111" spans="1:5" ht="25.5" x14ac:dyDescent="0.2">
      <c r="A111" s="136" t="s">
        <v>400</v>
      </c>
      <c r="B111" s="125"/>
      <c r="C111" s="103" t="s">
        <v>277</v>
      </c>
      <c r="D111" s="144">
        <v>11</v>
      </c>
      <c r="E111" s="118"/>
    </row>
    <row r="112" spans="1:5" x14ac:dyDescent="0.2">
      <c r="A112" s="136" t="s">
        <v>401</v>
      </c>
      <c r="B112" s="125"/>
      <c r="C112" s="103" t="s">
        <v>275</v>
      </c>
      <c r="D112" s="144">
        <v>10</v>
      </c>
      <c r="E112" s="118"/>
    </row>
    <row r="113" spans="1:9" ht="25.5" x14ac:dyDescent="0.2">
      <c r="A113" s="136" t="s">
        <v>402</v>
      </c>
      <c r="B113" s="125"/>
      <c r="C113" s="103" t="s">
        <v>278</v>
      </c>
      <c r="D113" s="144">
        <v>12</v>
      </c>
      <c r="E113" s="118"/>
    </row>
    <row r="114" spans="1:9" ht="27" x14ac:dyDescent="0.2">
      <c r="A114" s="136" t="s">
        <v>403</v>
      </c>
      <c r="B114" s="125"/>
      <c r="C114" s="137" t="s">
        <v>232</v>
      </c>
      <c r="D114" s="154">
        <f>SUM(D115:D119)</f>
        <v>544.70000000000005</v>
      </c>
      <c r="E114" s="118"/>
    </row>
    <row r="115" spans="1:9" ht="12.6" customHeight="1" x14ac:dyDescent="0.2">
      <c r="A115" s="136" t="s">
        <v>404</v>
      </c>
      <c r="B115" s="125"/>
      <c r="C115" s="103" t="s">
        <v>279</v>
      </c>
      <c r="D115" s="144">
        <v>150</v>
      </c>
      <c r="E115" s="118"/>
    </row>
    <row r="116" spans="1:9" x14ac:dyDescent="0.2">
      <c r="A116" s="136" t="s">
        <v>405</v>
      </c>
      <c r="B116" s="125"/>
      <c r="C116" s="103" t="s">
        <v>280</v>
      </c>
      <c r="D116" s="144">
        <v>200</v>
      </c>
      <c r="E116" s="118"/>
    </row>
    <row r="117" spans="1:9" ht="25.5" x14ac:dyDescent="0.2">
      <c r="A117" s="136" t="s">
        <v>406</v>
      </c>
      <c r="B117" s="131"/>
      <c r="C117" s="142" t="s">
        <v>281</v>
      </c>
      <c r="D117" s="144">
        <f>15+1.7</f>
        <v>16.7</v>
      </c>
      <c r="E117" s="118"/>
      <c r="I117" s="155"/>
    </row>
    <row r="118" spans="1:9" x14ac:dyDescent="0.2">
      <c r="A118" s="136" t="s">
        <v>407</v>
      </c>
      <c r="B118" s="125"/>
      <c r="C118" s="103" t="s">
        <v>282</v>
      </c>
      <c r="D118" s="144">
        <v>170</v>
      </c>
      <c r="E118" s="118"/>
    </row>
    <row r="119" spans="1:9" x14ac:dyDescent="0.2">
      <c r="A119" s="136" t="s">
        <v>540</v>
      </c>
      <c r="B119" s="131"/>
      <c r="C119" s="103" t="s">
        <v>541</v>
      </c>
      <c r="D119" s="144">
        <v>8</v>
      </c>
      <c r="E119" s="118"/>
      <c r="G119" s="284"/>
      <c r="H119" s="284"/>
    </row>
    <row r="120" spans="1:9" x14ac:dyDescent="0.2">
      <c r="A120" s="273">
        <v>41</v>
      </c>
      <c r="B120" s="275"/>
      <c r="C120" s="128" t="s">
        <v>8</v>
      </c>
      <c r="D120" s="127">
        <f>1187+380</f>
        <v>1567</v>
      </c>
      <c r="E120" s="118"/>
    </row>
    <row r="121" spans="1:9" x14ac:dyDescent="0.2">
      <c r="A121" s="274"/>
      <c r="B121" s="276"/>
      <c r="C121" s="128" t="s">
        <v>157</v>
      </c>
      <c r="D121" s="127">
        <v>12.3</v>
      </c>
      <c r="E121" s="118"/>
      <c r="H121" s="155"/>
    </row>
    <row r="122" spans="1:9" x14ac:dyDescent="0.2">
      <c r="A122" s="273">
        <v>42</v>
      </c>
      <c r="B122" s="275"/>
      <c r="C122" s="128" t="s">
        <v>4</v>
      </c>
      <c r="D122" s="127">
        <f>471.7-130+0.9</f>
        <v>342.59999999999997</v>
      </c>
      <c r="E122" s="118"/>
    </row>
    <row r="123" spans="1:9" x14ac:dyDescent="0.2">
      <c r="A123" s="274"/>
      <c r="B123" s="276"/>
      <c r="C123" s="128" t="s">
        <v>157</v>
      </c>
      <c r="D123" s="127">
        <v>8.1999999999999993</v>
      </c>
      <c r="E123" s="118"/>
    </row>
    <row r="124" spans="1:9" x14ac:dyDescent="0.2">
      <c r="A124" s="273">
        <v>43</v>
      </c>
      <c r="B124" s="275"/>
      <c r="C124" s="128" t="s">
        <v>5</v>
      </c>
      <c r="D124" s="127">
        <f>150.3+5-0.7</f>
        <v>154.60000000000002</v>
      </c>
      <c r="E124" s="118"/>
    </row>
    <row r="125" spans="1:9" x14ac:dyDescent="0.2">
      <c r="A125" s="274"/>
      <c r="B125" s="276"/>
      <c r="C125" s="128" t="s">
        <v>157</v>
      </c>
      <c r="D125" s="127">
        <v>4.0999999999999996</v>
      </c>
      <c r="E125" s="118"/>
    </row>
    <row r="126" spans="1:9" x14ac:dyDescent="0.2">
      <c r="A126" s="147">
        <v>44</v>
      </c>
      <c r="B126" s="131"/>
      <c r="C126" s="128" t="s">
        <v>7</v>
      </c>
      <c r="D126" s="127">
        <f>209.5-50-1.1</f>
        <v>158.4</v>
      </c>
      <c r="E126" s="118"/>
    </row>
    <row r="127" spans="1:9" x14ac:dyDescent="0.2">
      <c r="A127" s="273">
        <v>45</v>
      </c>
      <c r="B127" s="275"/>
      <c r="C127" s="128" t="s">
        <v>6</v>
      </c>
      <c r="D127" s="127">
        <f>282.7-7</f>
        <v>275.7</v>
      </c>
      <c r="E127" s="118"/>
    </row>
    <row r="128" spans="1:9" x14ac:dyDescent="0.2">
      <c r="A128" s="274"/>
      <c r="B128" s="276"/>
      <c r="C128" s="128" t="s">
        <v>157</v>
      </c>
      <c r="D128" s="127">
        <v>4.0999999999999996</v>
      </c>
      <c r="E128" s="118"/>
    </row>
    <row r="129" spans="1:8" x14ac:dyDescent="0.2">
      <c r="A129" s="147">
        <v>46</v>
      </c>
      <c r="B129" s="131"/>
      <c r="C129" s="128" t="s">
        <v>9</v>
      </c>
      <c r="D129" s="127">
        <f>224.8-35-0.6</f>
        <v>189.20000000000002</v>
      </c>
      <c r="E129" s="118"/>
    </row>
    <row r="130" spans="1:8" x14ac:dyDescent="0.2">
      <c r="A130" s="273">
        <v>47</v>
      </c>
      <c r="B130" s="275"/>
      <c r="C130" s="134" t="s">
        <v>10</v>
      </c>
      <c r="D130" s="127">
        <f>137.7-20+2.1</f>
        <v>119.79999999999998</v>
      </c>
      <c r="E130" s="118"/>
    </row>
    <row r="131" spans="1:8" x14ac:dyDescent="0.2">
      <c r="A131" s="274"/>
      <c r="B131" s="276"/>
      <c r="C131" s="128" t="s">
        <v>157</v>
      </c>
      <c r="D131" s="127">
        <v>8.1999999999999993</v>
      </c>
      <c r="E131" s="118"/>
    </row>
    <row r="132" spans="1:8" x14ac:dyDescent="0.2">
      <c r="A132" s="273">
        <v>48</v>
      </c>
      <c r="B132" s="275"/>
      <c r="C132" s="128" t="s">
        <v>12</v>
      </c>
      <c r="D132" s="127">
        <f>218.3-45</f>
        <v>173.3</v>
      </c>
      <c r="E132" s="118"/>
    </row>
    <row r="133" spans="1:8" x14ac:dyDescent="0.2">
      <c r="A133" s="274"/>
      <c r="B133" s="276"/>
      <c r="C133" s="128" t="s">
        <v>157</v>
      </c>
      <c r="D133" s="127">
        <v>8.1999999999999993</v>
      </c>
      <c r="E133" s="118"/>
    </row>
    <row r="134" spans="1:8" x14ac:dyDescent="0.2">
      <c r="A134" s="273">
        <v>49</v>
      </c>
      <c r="B134" s="275"/>
      <c r="C134" s="128" t="s">
        <v>11</v>
      </c>
      <c r="D134" s="127">
        <f>210.5-65-0.9</f>
        <v>144.6</v>
      </c>
      <c r="E134" s="118"/>
    </row>
    <row r="135" spans="1:8" x14ac:dyDescent="0.2">
      <c r="A135" s="274"/>
      <c r="B135" s="276"/>
      <c r="C135" s="128" t="s">
        <v>157</v>
      </c>
      <c r="D135" s="127">
        <v>4.0999999999999996</v>
      </c>
      <c r="E135" s="118"/>
    </row>
    <row r="136" spans="1:8" x14ac:dyDescent="0.2">
      <c r="A136" s="277">
        <v>50</v>
      </c>
      <c r="B136" s="275"/>
      <c r="C136" s="128" t="s">
        <v>13</v>
      </c>
      <c r="D136" s="127">
        <f>153.6-20+0.7</f>
        <v>134.29999999999998</v>
      </c>
      <c r="E136" s="118"/>
    </row>
    <row r="137" spans="1:8" x14ac:dyDescent="0.2">
      <c r="A137" s="278"/>
      <c r="B137" s="276"/>
      <c r="C137" s="128" t="s">
        <v>157</v>
      </c>
      <c r="D137" s="127">
        <v>4.0999999999999996</v>
      </c>
      <c r="E137" s="118"/>
    </row>
    <row r="138" spans="1:8" x14ac:dyDescent="0.2">
      <c r="A138" s="273">
        <v>51</v>
      </c>
      <c r="B138" s="275"/>
      <c r="C138" s="128" t="s">
        <v>14</v>
      </c>
      <c r="D138" s="127">
        <f>219.6-55-2</f>
        <v>162.6</v>
      </c>
      <c r="E138" s="118"/>
    </row>
    <row r="139" spans="1:8" x14ac:dyDescent="0.2">
      <c r="A139" s="274"/>
      <c r="B139" s="276"/>
      <c r="C139" s="128" t="s">
        <v>157</v>
      </c>
      <c r="D139" s="127">
        <v>8.1</v>
      </c>
      <c r="E139" s="118"/>
    </row>
    <row r="140" spans="1:8" x14ac:dyDescent="0.2">
      <c r="A140" s="121">
        <v>52</v>
      </c>
      <c r="B140" s="120" t="s">
        <v>51</v>
      </c>
      <c r="C140" s="145" t="s">
        <v>97</v>
      </c>
      <c r="D140" s="146">
        <f>+D142+D163+D164+D165+D166+D167+D168+D169+D170+D171+D141</f>
        <v>2611.4999999999995</v>
      </c>
      <c r="E140" s="118"/>
    </row>
    <row r="141" spans="1:8" ht="12.6" customHeight="1" x14ac:dyDescent="0.2">
      <c r="A141" s="121">
        <v>53</v>
      </c>
      <c r="B141" s="125"/>
      <c r="C141" s="126" t="s">
        <v>65</v>
      </c>
      <c r="D141" s="127">
        <f>1112.2+2.6+27.6+43.2</f>
        <v>1185.5999999999999</v>
      </c>
      <c r="E141" s="118"/>
    </row>
    <row r="142" spans="1:8" ht="12.6" customHeight="1" x14ac:dyDescent="0.2">
      <c r="A142" s="121">
        <v>54</v>
      </c>
      <c r="B142" s="120"/>
      <c r="C142" s="134" t="s">
        <v>89</v>
      </c>
      <c r="D142" s="127">
        <f>+D143+D144+D153+D155+D152+D154</f>
        <v>1394.2</v>
      </c>
      <c r="E142" s="118"/>
    </row>
    <row r="143" spans="1:8" ht="12.6" customHeight="1" x14ac:dyDescent="0.2">
      <c r="A143" s="136" t="s">
        <v>408</v>
      </c>
      <c r="B143" s="125"/>
      <c r="C143" s="134" t="s">
        <v>3</v>
      </c>
      <c r="D143" s="127">
        <f>68.5+5</f>
        <v>73.5</v>
      </c>
      <c r="E143" s="118"/>
    </row>
    <row r="144" spans="1:8" ht="12.6" customHeight="1" x14ac:dyDescent="0.2">
      <c r="A144" s="280" t="s">
        <v>409</v>
      </c>
      <c r="B144" s="275"/>
      <c r="C144" s="149" t="s">
        <v>198</v>
      </c>
      <c r="D144" s="127">
        <f>+D145+D146+D147+D148+D149+D150+D151</f>
        <v>689</v>
      </c>
      <c r="E144" s="118"/>
      <c r="H144" s="155"/>
    </row>
    <row r="145" spans="1:5" ht="13.5" customHeight="1" x14ac:dyDescent="0.2">
      <c r="A145" s="281"/>
      <c r="B145" s="283"/>
      <c r="C145" s="156" t="s">
        <v>285</v>
      </c>
      <c r="D145" s="127">
        <v>300</v>
      </c>
      <c r="E145" s="118"/>
    </row>
    <row r="146" spans="1:5" x14ac:dyDescent="0.2">
      <c r="A146" s="281"/>
      <c r="B146" s="283"/>
      <c r="C146" s="156" t="s">
        <v>286</v>
      </c>
      <c r="D146" s="127">
        <f>130+14</f>
        <v>144</v>
      </c>
      <c r="E146" s="118"/>
    </row>
    <row r="147" spans="1:5" ht="12.6" customHeight="1" x14ac:dyDescent="0.2">
      <c r="A147" s="281"/>
      <c r="B147" s="283"/>
      <c r="C147" s="156" t="s">
        <v>287</v>
      </c>
      <c r="D147" s="127">
        <v>25</v>
      </c>
      <c r="E147" s="118"/>
    </row>
    <row r="148" spans="1:5" x14ac:dyDescent="0.2">
      <c r="A148" s="281"/>
      <c r="B148" s="283"/>
      <c r="C148" s="156" t="s">
        <v>288</v>
      </c>
      <c r="D148" s="127">
        <v>170</v>
      </c>
      <c r="E148" s="118"/>
    </row>
    <row r="149" spans="1:5" x14ac:dyDescent="0.2">
      <c r="A149" s="281"/>
      <c r="B149" s="283"/>
      <c r="C149" s="156" t="s">
        <v>289</v>
      </c>
      <c r="D149" s="127">
        <v>20</v>
      </c>
      <c r="E149" s="118"/>
    </row>
    <row r="150" spans="1:5" ht="12.75" customHeight="1" x14ac:dyDescent="0.2">
      <c r="A150" s="281"/>
      <c r="B150" s="283"/>
      <c r="C150" s="156" t="s">
        <v>290</v>
      </c>
      <c r="D150" s="127">
        <v>20</v>
      </c>
      <c r="E150" s="118"/>
    </row>
    <row r="151" spans="1:5" x14ac:dyDescent="0.2">
      <c r="A151" s="282"/>
      <c r="B151" s="276"/>
      <c r="C151" s="156" t="s">
        <v>291</v>
      </c>
      <c r="D151" s="127">
        <v>10</v>
      </c>
      <c r="E151" s="118"/>
    </row>
    <row r="152" spans="1:5" ht="25.5" x14ac:dyDescent="0.2">
      <c r="A152" s="136" t="s">
        <v>410</v>
      </c>
      <c r="B152" s="125"/>
      <c r="C152" s="149" t="s">
        <v>283</v>
      </c>
      <c r="D152" s="127">
        <v>10.3</v>
      </c>
      <c r="E152" s="118"/>
    </row>
    <row r="153" spans="1:5" ht="25.5" x14ac:dyDescent="0.2">
      <c r="A153" s="136" t="s">
        <v>411</v>
      </c>
      <c r="B153" s="125"/>
      <c r="C153" s="149" t="s">
        <v>284</v>
      </c>
      <c r="D153" s="127">
        <v>60</v>
      </c>
      <c r="E153" s="118"/>
    </row>
    <row r="154" spans="1:5" x14ac:dyDescent="0.2">
      <c r="A154" s="136" t="s">
        <v>412</v>
      </c>
      <c r="B154" s="125"/>
      <c r="C154" s="149" t="s">
        <v>292</v>
      </c>
      <c r="D154" s="127">
        <v>15</v>
      </c>
      <c r="E154" s="118"/>
    </row>
    <row r="155" spans="1:5" ht="27" x14ac:dyDescent="0.2">
      <c r="A155" s="136" t="s">
        <v>413</v>
      </c>
      <c r="B155" s="125"/>
      <c r="C155" s="137" t="s">
        <v>232</v>
      </c>
      <c r="D155" s="138">
        <f>SUM(D156:D162)</f>
        <v>546.4</v>
      </c>
      <c r="E155" s="118"/>
    </row>
    <row r="156" spans="1:5" x14ac:dyDescent="0.2">
      <c r="A156" s="136" t="s">
        <v>414</v>
      </c>
      <c r="B156" s="125"/>
      <c r="C156" s="128" t="s">
        <v>293</v>
      </c>
      <c r="D156" s="127">
        <v>100</v>
      </c>
      <c r="E156" s="118"/>
    </row>
    <row r="157" spans="1:5" x14ac:dyDescent="0.2">
      <c r="A157" s="136" t="s">
        <v>415</v>
      </c>
      <c r="B157" s="125"/>
      <c r="C157" s="128" t="s">
        <v>294</v>
      </c>
      <c r="D157" s="127">
        <v>116.1</v>
      </c>
      <c r="E157" s="118"/>
    </row>
    <row r="158" spans="1:5" ht="25.5" x14ac:dyDescent="0.2">
      <c r="A158" s="136" t="s">
        <v>416</v>
      </c>
      <c r="B158" s="125"/>
      <c r="C158" s="128" t="s">
        <v>295</v>
      </c>
      <c r="D158" s="127">
        <v>50</v>
      </c>
      <c r="E158" s="118"/>
    </row>
    <row r="159" spans="1:5" ht="13.5" customHeight="1" x14ac:dyDescent="0.2">
      <c r="A159" s="136" t="s">
        <v>417</v>
      </c>
      <c r="B159" s="125"/>
      <c r="C159" s="128" t="s">
        <v>296</v>
      </c>
      <c r="D159" s="127">
        <v>20</v>
      </c>
      <c r="E159" s="118"/>
    </row>
    <row r="160" spans="1:5" x14ac:dyDescent="0.2">
      <c r="A160" s="136" t="s">
        <v>418</v>
      </c>
      <c r="B160" s="125"/>
      <c r="C160" s="128" t="s">
        <v>544</v>
      </c>
      <c r="D160" s="127">
        <v>235</v>
      </c>
      <c r="E160" s="118"/>
    </row>
    <row r="161" spans="1:5" ht="38.25" x14ac:dyDescent="0.2">
      <c r="A161" s="136" t="s">
        <v>419</v>
      </c>
      <c r="B161" s="125"/>
      <c r="C161" s="128" t="s">
        <v>297</v>
      </c>
      <c r="D161" s="127">
        <v>7.3</v>
      </c>
      <c r="E161" s="118"/>
    </row>
    <row r="162" spans="1:5" x14ac:dyDescent="0.2">
      <c r="A162" s="136" t="s">
        <v>542</v>
      </c>
      <c r="B162" s="125"/>
      <c r="C162" s="128" t="s">
        <v>543</v>
      </c>
      <c r="D162" s="127">
        <v>18</v>
      </c>
      <c r="E162" s="118"/>
    </row>
    <row r="163" spans="1:5" ht="12" customHeight="1" x14ac:dyDescent="0.2">
      <c r="A163" s="121">
        <v>55</v>
      </c>
      <c r="B163" s="125"/>
      <c r="C163" s="128" t="s">
        <v>5</v>
      </c>
      <c r="D163" s="127">
        <f>3.4-0.6</f>
        <v>2.8</v>
      </c>
      <c r="E163" s="118"/>
    </row>
    <row r="164" spans="1:5" ht="12.6" customHeight="1" x14ac:dyDescent="0.2">
      <c r="A164" s="121">
        <v>56</v>
      </c>
      <c r="B164" s="125"/>
      <c r="C164" s="134" t="s">
        <v>7</v>
      </c>
      <c r="D164" s="127">
        <v>3.8</v>
      </c>
      <c r="E164" s="118"/>
    </row>
    <row r="165" spans="1:5" ht="12.6" customHeight="1" x14ac:dyDescent="0.2">
      <c r="A165" s="121">
        <v>57</v>
      </c>
      <c r="B165" s="125"/>
      <c r="C165" s="128" t="s">
        <v>6</v>
      </c>
      <c r="D165" s="127">
        <f>3.7-0.1</f>
        <v>3.6</v>
      </c>
      <c r="E165" s="118"/>
    </row>
    <row r="166" spans="1:5" ht="12.6" customHeight="1" x14ac:dyDescent="0.2">
      <c r="A166" s="121">
        <v>58</v>
      </c>
      <c r="B166" s="125"/>
      <c r="C166" s="128" t="s">
        <v>9</v>
      </c>
      <c r="D166" s="127">
        <f>3.6+0.3</f>
        <v>3.9</v>
      </c>
      <c r="E166" s="118"/>
    </row>
    <row r="167" spans="1:5" ht="12.6" customHeight="1" x14ac:dyDescent="0.2">
      <c r="A167" s="121">
        <v>59</v>
      </c>
      <c r="B167" s="125"/>
      <c r="C167" s="134" t="s">
        <v>10</v>
      </c>
      <c r="D167" s="127">
        <v>3.6</v>
      </c>
      <c r="E167" s="118"/>
    </row>
    <row r="168" spans="1:5" ht="12.6" customHeight="1" x14ac:dyDescent="0.2">
      <c r="A168" s="121">
        <v>60</v>
      </c>
      <c r="B168" s="125"/>
      <c r="C168" s="128" t="s">
        <v>12</v>
      </c>
      <c r="D168" s="127">
        <v>3.6</v>
      </c>
      <c r="E168" s="118"/>
    </row>
    <row r="169" spans="1:5" ht="12.6" customHeight="1" x14ac:dyDescent="0.2">
      <c r="A169" s="121">
        <v>61</v>
      </c>
      <c r="B169" s="125"/>
      <c r="C169" s="128" t="s">
        <v>11</v>
      </c>
      <c r="D169" s="127">
        <v>3.6</v>
      </c>
      <c r="E169" s="118"/>
    </row>
    <row r="170" spans="1:5" ht="12.6" customHeight="1" x14ac:dyDescent="0.2">
      <c r="A170" s="121">
        <v>62</v>
      </c>
      <c r="B170" s="125"/>
      <c r="C170" s="128" t="s">
        <v>13</v>
      </c>
      <c r="D170" s="127">
        <v>3.3</v>
      </c>
      <c r="E170" s="118"/>
    </row>
    <row r="171" spans="1:5" ht="12.6" customHeight="1" x14ac:dyDescent="0.2">
      <c r="A171" s="121">
        <v>63</v>
      </c>
      <c r="B171" s="125"/>
      <c r="C171" s="128" t="s">
        <v>14</v>
      </c>
      <c r="D171" s="127">
        <v>3.5</v>
      </c>
      <c r="E171" s="118"/>
    </row>
    <row r="172" spans="1:5" ht="12.6" customHeight="1" x14ac:dyDescent="0.2">
      <c r="A172" s="121">
        <v>64</v>
      </c>
      <c r="B172" s="120" t="s">
        <v>52</v>
      </c>
      <c r="C172" s="145" t="s">
        <v>53</v>
      </c>
      <c r="D172" s="146">
        <f>+D173+D174+D175+D176+D177+D178+D179+D180+D182+D195</f>
        <v>6361.5</v>
      </c>
      <c r="E172" s="118"/>
    </row>
    <row r="173" spans="1:5" ht="14.25" customHeight="1" x14ac:dyDescent="0.2">
      <c r="A173" s="121">
        <v>65</v>
      </c>
      <c r="B173" s="125"/>
      <c r="C173" s="126" t="s">
        <v>36</v>
      </c>
      <c r="D173" s="127">
        <f>1204.7+4.5</f>
        <v>1209.2</v>
      </c>
      <c r="E173" s="118"/>
    </row>
    <row r="174" spans="1:5" ht="12.6" customHeight="1" x14ac:dyDescent="0.2">
      <c r="A174" s="121">
        <v>66</v>
      </c>
      <c r="B174" s="125"/>
      <c r="C174" s="153" t="s">
        <v>41</v>
      </c>
      <c r="D174" s="127">
        <f>350.3+1.2</f>
        <v>351.5</v>
      </c>
      <c r="E174" s="118"/>
    </row>
    <row r="175" spans="1:5" ht="12.6" customHeight="1" x14ac:dyDescent="0.2">
      <c r="A175" s="121">
        <v>67</v>
      </c>
      <c r="B175" s="125"/>
      <c r="C175" s="153" t="s">
        <v>42</v>
      </c>
      <c r="D175" s="127">
        <f>265.3+7+2</f>
        <v>274.3</v>
      </c>
      <c r="E175" s="118"/>
    </row>
    <row r="176" spans="1:5" ht="12.6" customHeight="1" x14ac:dyDescent="0.2">
      <c r="A176" s="121">
        <v>68</v>
      </c>
      <c r="B176" s="125"/>
      <c r="C176" s="153" t="s">
        <v>37</v>
      </c>
      <c r="D176" s="127">
        <f>247.2+10</f>
        <v>257.2</v>
      </c>
      <c r="E176" s="118"/>
    </row>
    <row r="177" spans="1:8" ht="12.6" customHeight="1" x14ac:dyDescent="0.2">
      <c r="A177" s="121">
        <v>69</v>
      </c>
      <c r="B177" s="125"/>
      <c r="C177" s="153" t="s">
        <v>43</v>
      </c>
      <c r="D177" s="127">
        <v>181.5</v>
      </c>
      <c r="E177" s="118"/>
    </row>
    <row r="178" spans="1:8" ht="12.6" customHeight="1" x14ac:dyDescent="0.2">
      <c r="A178" s="121">
        <v>70</v>
      </c>
      <c r="B178" s="125"/>
      <c r="C178" s="153" t="s">
        <v>44</v>
      </c>
      <c r="D178" s="127">
        <v>147.30000000000001</v>
      </c>
      <c r="E178" s="118"/>
    </row>
    <row r="179" spans="1:8" ht="12.6" customHeight="1" x14ac:dyDescent="0.2">
      <c r="A179" s="121">
        <v>71</v>
      </c>
      <c r="B179" s="125"/>
      <c r="C179" s="128" t="s">
        <v>45</v>
      </c>
      <c r="D179" s="127">
        <f>1459.4+2.5</f>
        <v>1461.9</v>
      </c>
      <c r="E179" s="118"/>
    </row>
    <row r="180" spans="1:8" ht="12.6" customHeight="1" x14ac:dyDescent="0.2">
      <c r="A180" s="273">
        <v>72</v>
      </c>
      <c r="B180" s="275"/>
      <c r="C180" s="153" t="s">
        <v>35</v>
      </c>
      <c r="D180" s="127">
        <f>755.3+D181+2.4+14.6+1.2</f>
        <v>778.5</v>
      </c>
      <c r="E180" s="118"/>
    </row>
    <row r="181" spans="1:8" ht="25.5" x14ac:dyDescent="0.2">
      <c r="A181" s="274"/>
      <c r="B181" s="276"/>
      <c r="C181" s="133" t="s">
        <v>197</v>
      </c>
      <c r="D181" s="127">
        <v>5</v>
      </c>
      <c r="E181" s="118"/>
    </row>
    <row r="182" spans="1:8" x14ac:dyDescent="0.2">
      <c r="A182" s="121">
        <v>73</v>
      </c>
      <c r="B182" s="125"/>
      <c r="C182" s="134" t="s">
        <v>89</v>
      </c>
      <c r="D182" s="127">
        <f>+D183+D184+D185+D188+D189+D186+D187</f>
        <v>1699.1</v>
      </c>
      <c r="E182" s="118"/>
    </row>
    <row r="183" spans="1:8" ht="12.6" customHeight="1" x14ac:dyDescent="0.2">
      <c r="A183" s="136" t="s">
        <v>420</v>
      </c>
      <c r="B183" s="125"/>
      <c r="C183" s="134" t="s">
        <v>3</v>
      </c>
      <c r="D183" s="127">
        <v>319.60000000000002</v>
      </c>
      <c r="E183" s="118"/>
    </row>
    <row r="184" spans="1:8" ht="25.5" x14ac:dyDescent="0.2">
      <c r="A184" s="136" t="s">
        <v>421</v>
      </c>
      <c r="B184" s="125"/>
      <c r="C184" s="103" t="s">
        <v>298</v>
      </c>
      <c r="D184" s="127">
        <v>30</v>
      </c>
      <c r="E184" s="118"/>
    </row>
    <row r="185" spans="1:8" x14ac:dyDescent="0.2">
      <c r="A185" s="136" t="s">
        <v>422</v>
      </c>
      <c r="B185" s="125"/>
      <c r="C185" s="103" t="s">
        <v>299</v>
      </c>
      <c r="D185" s="127">
        <v>26</v>
      </c>
      <c r="E185" s="118"/>
    </row>
    <row r="186" spans="1:8" ht="25.5" x14ac:dyDescent="0.2">
      <c r="A186" s="136" t="s">
        <v>423</v>
      </c>
      <c r="B186" s="125"/>
      <c r="C186" s="142" t="s">
        <v>300</v>
      </c>
      <c r="D186" s="127">
        <f>59.5+11.6</f>
        <v>71.099999999999994</v>
      </c>
      <c r="E186" s="118"/>
      <c r="H186" s="118"/>
    </row>
    <row r="187" spans="1:8" ht="25.5" x14ac:dyDescent="0.2">
      <c r="A187" s="136" t="s">
        <v>424</v>
      </c>
      <c r="B187" s="125"/>
      <c r="C187" s="142" t="s">
        <v>301</v>
      </c>
      <c r="D187" s="127">
        <v>19</v>
      </c>
      <c r="E187" s="118"/>
    </row>
    <row r="188" spans="1:8" x14ac:dyDescent="0.2">
      <c r="A188" s="136" t="s">
        <v>425</v>
      </c>
      <c r="B188" s="125"/>
      <c r="C188" s="103" t="s">
        <v>302</v>
      </c>
      <c r="D188" s="127">
        <f>13-7.6</f>
        <v>5.4</v>
      </c>
      <c r="E188" s="118"/>
    </row>
    <row r="189" spans="1:8" ht="27" x14ac:dyDescent="0.2">
      <c r="A189" s="136" t="s">
        <v>426</v>
      </c>
      <c r="B189" s="125"/>
      <c r="C189" s="137" t="s">
        <v>232</v>
      </c>
      <c r="D189" s="138">
        <f>SUM(D190:D194)</f>
        <v>1228</v>
      </c>
      <c r="E189" s="118"/>
    </row>
    <row r="190" spans="1:8" x14ac:dyDescent="0.2">
      <c r="A190" s="136" t="s">
        <v>427</v>
      </c>
      <c r="B190" s="125"/>
      <c r="C190" s="142" t="s">
        <v>303</v>
      </c>
      <c r="D190" s="127">
        <v>1100</v>
      </c>
      <c r="E190" s="118"/>
    </row>
    <row r="191" spans="1:8" x14ac:dyDescent="0.2">
      <c r="A191" s="136" t="s">
        <v>429</v>
      </c>
      <c r="B191" s="125"/>
      <c r="C191" s="128" t="s">
        <v>304</v>
      </c>
      <c r="D191" s="127">
        <v>30</v>
      </c>
      <c r="E191" s="118"/>
    </row>
    <row r="192" spans="1:8" x14ac:dyDescent="0.2">
      <c r="A192" s="136" t="s">
        <v>430</v>
      </c>
      <c r="B192" s="125"/>
      <c r="C192" s="128" t="s">
        <v>305</v>
      </c>
      <c r="D192" s="127">
        <f>10+8</f>
        <v>18</v>
      </c>
      <c r="E192" s="118"/>
    </row>
    <row r="193" spans="1:7" x14ac:dyDescent="0.2">
      <c r="A193" s="136" t="s">
        <v>428</v>
      </c>
      <c r="B193" s="125"/>
      <c r="C193" s="128" t="s">
        <v>306</v>
      </c>
      <c r="D193" s="127">
        <v>40</v>
      </c>
      <c r="E193" s="118"/>
    </row>
    <row r="194" spans="1:7" x14ac:dyDescent="0.2">
      <c r="A194" s="136" t="s">
        <v>431</v>
      </c>
      <c r="B194" s="125"/>
      <c r="C194" s="128" t="s">
        <v>307</v>
      </c>
      <c r="D194" s="127">
        <v>40</v>
      </c>
      <c r="E194" s="118"/>
    </row>
    <row r="195" spans="1:7" ht="12.6" customHeight="1" x14ac:dyDescent="0.2">
      <c r="A195" s="121">
        <v>74</v>
      </c>
      <c r="B195" s="125"/>
      <c r="C195" s="128" t="s">
        <v>6</v>
      </c>
      <c r="D195" s="127">
        <f>8.6-7.6</f>
        <v>1</v>
      </c>
      <c r="E195" s="118"/>
    </row>
    <row r="196" spans="1:7" x14ac:dyDescent="0.2">
      <c r="A196" s="121">
        <v>75</v>
      </c>
      <c r="B196" s="120" t="s">
        <v>62</v>
      </c>
      <c r="C196" s="157" t="s">
        <v>63</v>
      </c>
      <c r="D196" s="146">
        <f>+D197</f>
        <v>805.9</v>
      </c>
      <c r="E196" s="118"/>
    </row>
    <row r="197" spans="1:7" x14ac:dyDescent="0.2">
      <c r="A197" s="121">
        <v>76</v>
      </c>
      <c r="B197" s="125"/>
      <c r="C197" s="134" t="s">
        <v>89</v>
      </c>
      <c r="D197" s="127">
        <f>+D198+D199+D200</f>
        <v>805.9</v>
      </c>
      <c r="E197" s="118"/>
    </row>
    <row r="198" spans="1:7" ht="13.5" customHeight="1" x14ac:dyDescent="0.2">
      <c r="A198" s="158" t="s">
        <v>432</v>
      </c>
      <c r="B198" s="125"/>
      <c r="C198" s="103" t="s">
        <v>308</v>
      </c>
      <c r="D198" s="127">
        <v>108</v>
      </c>
      <c r="E198" s="118"/>
    </row>
    <row r="199" spans="1:7" x14ac:dyDescent="0.2">
      <c r="A199" s="158" t="s">
        <v>433</v>
      </c>
      <c r="B199" s="125"/>
      <c r="C199" s="103" t="s">
        <v>309</v>
      </c>
      <c r="D199" s="127">
        <v>50</v>
      </c>
      <c r="E199" s="118"/>
    </row>
    <row r="200" spans="1:7" ht="27" x14ac:dyDescent="0.2">
      <c r="A200" s="158" t="s">
        <v>434</v>
      </c>
      <c r="B200" s="125"/>
      <c r="C200" s="137" t="s">
        <v>232</v>
      </c>
      <c r="D200" s="138">
        <f>SUM(D201:D209)</f>
        <v>647.9</v>
      </c>
      <c r="E200" s="118"/>
    </row>
    <row r="201" spans="1:7" ht="25.5" x14ac:dyDescent="0.2">
      <c r="A201" s="136" t="s">
        <v>435</v>
      </c>
      <c r="B201" s="125"/>
      <c r="C201" s="139" t="s">
        <v>804</v>
      </c>
      <c r="D201" s="127">
        <v>3</v>
      </c>
      <c r="E201" s="118"/>
    </row>
    <row r="202" spans="1:7" ht="38.25" x14ac:dyDescent="0.2">
      <c r="A202" s="136" t="s">
        <v>436</v>
      </c>
      <c r="B202" s="125"/>
      <c r="C202" s="139" t="s">
        <v>310</v>
      </c>
      <c r="D202" s="127">
        <f>100+123.9</f>
        <v>223.9</v>
      </c>
      <c r="E202" s="118"/>
    </row>
    <row r="203" spans="1:7" x14ac:dyDescent="0.2">
      <c r="A203" s="136" t="s">
        <v>437</v>
      </c>
      <c r="B203" s="125"/>
      <c r="C203" s="139" t="s">
        <v>311</v>
      </c>
      <c r="D203" s="127">
        <f>103-83</f>
        <v>20</v>
      </c>
      <c r="E203" s="118"/>
      <c r="F203" s="279"/>
      <c r="G203" s="279"/>
    </row>
    <row r="204" spans="1:7" ht="25.5" x14ac:dyDescent="0.2">
      <c r="A204" s="136" t="s">
        <v>438</v>
      </c>
      <c r="B204" s="125"/>
      <c r="C204" s="139" t="s">
        <v>312</v>
      </c>
      <c r="D204" s="127">
        <v>3</v>
      </c>
      <c r="E204" s="118"/>
    </row>
    <row r="205" spans="1:7" ht="39.75" customHeight="1" x14ac:dyDescent="0.2">
      <c r="A205" s="136" t="s">
        <v>439</v>
      </c>
      <c r="B205" s="125"/>
      <c r="C205" s="139" t="s">
        <v>313</v>
      </c>
      <c r="D205" s="127">
        <v>25</v>
      </c>
      <c r="E205" s="118"/>
    </row>
    <row r="206" spans="1:7" x14ac:dyDescent="0.2">
      <c r="A206" s="136" t="s">
        <v>440</v>
      </c>
      <c r="B206" s="125"/>
      <c r="C206" s="139" t="s">
        <v>314</v>
      </c>
      <c r="D206" s="127">
        <v>3</v>
      </c>
      <c r="E206" s="118"/>
    </row>
    <row r="207" spans="1:7" ht="25.5" x14ac:dyDescent="0.2">
      <c r="A207" s="136" t="s">
        <v>441</v>
      </c>
      <c r="B207" s="125"/>
      <c r="C207" s="139" t="s">
        <v>315</v>
      </c>
      <c r="D207" s="127">
        <v>20</v>
      </c>
      <c r="E207" s="118"/>
    </row>
    <row r="208" spans="1:7" x14ac:dyDescent="0.2">
      <c r="A208" s="136" t="s">
        <v>442</v>
      </c>
      <c r="B208" s="125"/>
      <c r="C208" s="139" t="s">
        <v>316</v>
      </c>
      <c r="D208" s="127">
        <v>300</v>
      </c>
      <c r="E208" s="118"/>
    </row>
    <row r="209" spans="1:10" x14ac:dyDescent="0.2">
      <c r="A209" s="136" t="s">
        <v>443</v>
      </c>
      <c r="B209" s="125"/>
      <c r="C209" s="139" t="s">
        <v>317</v>
      </c>
      <c r="D209" s="127">
        <v>50</v>
      </c>
      <c r="E209" s="118"/>
    </row>
    <row r="210" spans="1:10" x14ac:dyDescent="0.2">
      <c r="A210" s="121">
        <v>77</v>
      </c>
      <c r="B210" s="120" t="s">
        <v>54</v>
      </c>
      <c r="C210" s="159" t="s">
        <v>55</v>
      </c>
      <c r="D210" s="123">
        <f>+D211+D212+D235+D236+D237+D238+D239+D240+D241+D242+D243+D244+D245</f>
        <v>3423.8999999999996</v>
      </c>
      <c r="E210" s="118"/>
    </row>
    <row r="211" spans="1:10" x14ac:dyDescent="0.2">
      <c r="A211" s="121">
        <v>78</v>
      </c>
      <c r="B211" s="120"/>
      <c r="C211" s="160" t="s">
        <v>147</v>
      </c>
      <c r="D211" s="161">
        <v>150</v>
      </c>
      <c r="E211" s="118"/>
    </row>
    <row r="212" spans="1:10" x14ac:dyDescent="0.2">
      <c r="A212" s="121">
        <v>79</v>
      </c>
      <c r="B212" s="125"/>
      <c r="C212" s="134" t="s">
        <v>91</v>
      </c>
      <c r="D212" s="127">
        <f>D213</f>
        <v>2091.5</v>
      </c>
      <c r="E212" s="118"/>
    </row>
    <row r="213" spans="1:10" ht="27" x14ac:dyDescent="0.2">
      <c r="A213" s="136" t="s">
        <v>444</v>
      </c>
      <c r="B213" s="125"/>
      <c r="C213" s="137" t="s">
        <v>232</v>
      </c>
      <c r="D213" s="138">
        <f>SUM(D214:D234)</f>
        <v>2091.5</v>
      </c>
      <c r="E213" s="118"/>
    </row>
    <row r="214" spans="1:10" x14ac:dyDescent="0.2">
      <c r="A214" s="136" t="s">
        <v>445</v>
      </c>
      <c r="B214" s="125"/>
      <c r="C214" s="142" t="s">
        <v>318</v>
      </c>
      <c r="D214" s="127">
        <v>75</v>
      </c>
      <c r="E214" s="118"/>
    </row>
    <row r="215" spans="1:10" x14ac:dyDescent="0.2">
      <c r="A215" s="136" t="s">
        <v>446</v>
      </c>
      <c r="B215" s="125"/>
      <c r="C215" s="142" t="s">
        <v>319</v>
      </c>
      <c r="D215" s="127">
        <v>24</v>
      </c>
      <c r="E215" s="118"/>
      <c r="H215" s="111"/>
      <c r="I215" s="111"/>
      <c r="J215" s="111"/>
    </row>
    <row r="216" spans="1:10" x14ac:dyDescent="0.2">
      <c r="A216" s="136" t="s">
        <v>447</v>
      </c>
      <c r="B216" s="125"/>
      <c r="C216" s="139" t="s">
        <v>320</v>
      </c>
      <c r="D216" s="127">
        <v>50</v>
      </c>
      <c r="E216" s="118"/>
      <c r="H216" s="111"/>
      <c r="I216" s="111"/>
      <c r="J216" s="111"/>
    </row>
    <row r="217" spans="1:10" ht="25.5" x14ac:dyDescent="0.2">
      <c r="A217" s="136" t="s">
        <v>448</v>
      </c>
      <c r="B217" s="125"/>
      <c r="C217" s="134" t="s">
        <v>321</v>
      </c>
      <c r="D217" s="127">
        <v>60</v>
      </c>
      <c r="E217" s="118"/>
    </row>
    <row r="218" spans="1:10" x14ac:dyDescent="0.2">
      <c r="A218" s="136" t="s">
        <v>449</v>
      </c>
      <c r="B218" s="125"/>
      <c r="C218" s="128" t="s">
        <v>322</v>
      </c>
      <c r="D218" s="127">
        <v>30</v>
      </c>
      <c r="E218" s="118"/>
    </row>
    <row r="219" spans="1:10" x14ac:dyDescent="0.2">
      <c r="A219" s="136" t="s">
        <v>450</v>
      </c>
      <c r="B219" s="125"/>
      <c r="C219" s="139" t="s">
        <v>323</v>
      </c>
      <c r="D219" s="127">
        <v>15</v>
      </c>
      <c r="E219" s="118"/>
    </row>
    <row r="220" spans="1:10" x14ac:dyDescent="0.2">
      <c r="A220" s="136" t="s">
        <v>451</v>
      </c>
      <c r="B220" s="125"/>
      <c r="C220" s="139" t="s">
        <v>324</v>
      </c>
      <c r="D220" s="127">
        <v>360</v>
      </c>
      <c r="E220" s="118"/>
    </row>
    <row r="221" spans="1:10" x14ac:dyDescent="0.2">
      <c r="A221" s="136" t="s">
        <v>452</v>
      </c>
      <c r="B221" s="125"/>
      <c r="C221" s="139" t="s">
        <v>325</v>
      </c>
      <c r="D221" s="127">
        <f>91-20</f>
        <v>71</v>
      </c>
      <c r="E221" s="118"/>
    </row>
    <row r="222" spans="1:10" x14ac:dyDescent="0.2">
      <c r="A222" s="136" t="s">
        <v>453</v>
      </c>
      <c r="B222" s="125"/>
      <c r="C222" s="139" t="s">
        <v>69</v>
      </c>
      <c r="D222" s="127">
        <f>50+33</f>
        <v>83</v>
      </c>
      <c r="E222" s="118"/>
    </row>
    <row r="223" spans="1:10" ht="12.75" customHeight="1" x14ac:dyDescent="0.2">
      <c r="A223" s="136" t="s">
        <v>454</v>
      </c>
      <c r="B223" s="125"/>
      <c r="C223" s="139" t="s">
        <v>70</v>
      </c>
      <c r="D223" s="127">
        <v>30</v>
      </c>
      <c r="E223" s="118"/>
    </row>
    <row r="224" spans="1:10" x14ac:dyDescent="0.2">
      <c r="A224" s="136" t="s">
        <v>455</v>
      </c>
      <c r="B224" s="125"/>
      <c r="C224" s="128" t="s">
        <v>326</v>
      </c>
      <c r="D224" s="127">
        <v>105</v>
      </c>
      <c r="E224" s="118"/>
    </row>
    <row r="225" spans="1:5" x14ac:dyDescent="0.2">
      <c r="A225" s="136" t="s">
        <v>456</v>
      </c>
      <c r="B225" s="125"/>
      <c r="C225" s="139" t="s">
        <v>327</v>
      </c>
      <c r="D225" s="127">
        <v>25</v>
      </c>
      <c r="E225" s="118"/>
    </row>
    <row r="226" spans="1:5" x14ac:dyDescent="0.2">
      <c r="A226" s="136" t="s">
        <v>457</v>
      </c>
      <c r="B226" s="125"/>
      <c r="C226" s="139" t="s">
        <v>328</v>
      </c>
      <c r="D226" s="127">
        <v>230</v>
      </c>
      <c r="E226" s="118"/>
    </row>
    <row r="227" spans="1:5" x14ac:dyDescent="0.2">
      <c r="A227" s="136" t="s">
        <v>458</v>
      </c>
      <c r="B227" s="125"/>
      <c r="C227" s="139" t="s">
        <v>329</v>
      </c>
      <c r="D227" s="127">
        <f>70+15</f>
        <v>85</v>
      </c>
      <c r="E227" s="118"/>
    </row>
    <row r="228" spans="1:5" ht="12.6" customHeight="1" x14ac:dyDescent="0.2">
      <c r="A228" s="136" t="s">
        <v>459</v>
      </c>
      <c r="B228" s="125"/>
      <c r="C228" s="139" t="s">
        <v>330</v>
      </c>
      <c r="D228" s="127">
        <f>(150-12.3)+(100-30)</f>
        <v>207.7</v>
      </c>
      <c r="E228" s="118"/>
    </row>
    <row r="229" spans="1:5" x14ac:dyDescent="0.2">
      <c r="A229" s="136" t="s">
        <v>460</v>
      </c>
      <c r="B229" s="125"/>
      <c r="C229" s="128" t="s">
        <v>611</v>
      </c>
      <c r="D229" s="127">
        <v>110</v>
      </c>
      <c r="E229" s="118"/>
    </row>
    <row r="230" spans="1:5" ht="12.6" customHeight="1" x14ac:dyDescent="0.2">
      <c r="A230" s="136" t="s">
        <v>461</v>
      </c>
      <c r="B230" s="125"/>
      <c r="C230" s="139" t="s">
        <v>331</v>
      </c>
      <c r="D230" s="127">
        <f>50+35</f>
        <v>85</v>
      </c>
      <c r="E230" s="118"/>
    </row>
    <row r="231" spans="1:5" x14ac:dyDescent="0.2">
      <c r="A231" s="136" t="s">
        <v>462</v>
      </c>
      <c r="B231" s="125"/>
      <c r="C231" s="128" t="s">
        <v>612</v>
      </c>
      <c r="D231" s="127">
        <v>50</v>
      </c>
      <c r="E231" s="118"/>
    </row>
    <row r="232" spans="1:5" ht="25.5" x14ac:dyDescent="0.2">
      <c r="A232" s="136" t="s">
        <v>463</v>
      </c>
      <c r="B232" s="125"/>
      <c r="C232" s="128" t="s">
        <v>613</v>
      </c>
      <c r="D232" s="127">
        <v>124</v>
      </c>
      <c r="E232" s="118"/>
    </row>
    <row r="233" spans="1:5" ht="25.5" x14ac:dyDescent="0.2">
      <c r="A233" s="136" t="s">
        <v>464</v>
      </c>
      <c r="B233" s="125"/>
      <c r="C233" s="128" t="s">
        <v>332</v>
      </c>
      <c r="D233" s="127">
        <f>200+302.2-235.7-37</f>
        <v>229.5</v>
      </c>
      <c r="E233" s="118"/>
    </row>
    <row r="234" spans="1:5" x14ac:dyDescent="0.2">
      <c r="A234" s="136" t="s">
        <v>528</v>
      </c>
      <c r="B234" s="125"/>
      <c r="C234" s="128" t="s">
        <v>235</v>
      </c>
      <c r="D234" s="127">
        <f>30+12.3</f>
        <v>42.3</v>
      </c>
      <c r="E234" s="118"/>
    </row>
    <row r="235" spans="1:5" x14ac:dyDescent="0.2">
      <c r="A235" s="121">
        <v>80</v>
      </c>
      <c r="B235" s="120"/>
      <c r="C235" s="128" t="s">
        <v>8</v>
      </c>
      <c r="D235" s="127">
        <f>624+7.4</f>
        <v>631.4</v>
      </c>
      <c r="E235" s="118"/>
    </row>
    <row r="236" spans="1:5" x14ac:dyDescent="0.2">
      <c r="A236" s="121">
        <v>81</v>
      </c>
      <c r="B236" s="120"/>
      <c r="C236" s="128" t="s">
        <v>4</v>
      </c>
      <c r="D236" s="127">
        <f>42.5+48.1+12.1</f>
        <v>102.69999999999999</v>
      </c>
      <c r="E236" s="118"/>
    </row>
    <row r="237" spans="1:5" ht="12.6" customHeight="1" x14ac:dyDescent="0.2">
      <c r="A237" s="121">
        <v>82</v>
      </c>
      <c r="B237" s="120"/>
      <c r="C237" s="128" t="s">
        <v>5</v>
      </c>
      <c r="D237" s="127">
        <f>12.5+2.7</f>
        <v>15.2</v>
      </c>
      <c r="E237" s="118"/>
    </row>
    <row r="238" spans="1:5" ht="12.6" customHeight="1" x14ac:dyDescent="0.2">
      <c r="A238" s="121">
        <v>83</v>
      </c>
      <c r="B238" s="120"/>
      <c r="C238" s="134" t="s">
        <v>7</v>
      </c>
      <c r="D238" s="127">
        <f>34+34.8+1+6.3</f>
        <v>76.099999999999994</v>
      </c>
      <c r="E238" s="118"/>
    </row>
    <row r="239" spans="1:5" ht="12.6" customHeight="1" x14ac:dyDescent="0.2">
      <c r="A239" s="121">
        <v>84</v>
      </c>
      <c r="B239" s="120"/>
      <c r="C239" s="128" t="s">
        <v>6</v>
      </c>
      <c r="D239" s="127">
        <f>25.3+24.7+3.5</f>
        <v>53.5</v>
      </c>
      <c r="E239" s="118"/>
    </row>
    <row r="240" spans="1:5" ht="12.6" customHeight="1" x14ac:dyDescent="0.2">
      <c r="A240" s="121">
        <v>85</v>
      </c>
      <c r="B240" s="120"/>
      <c r="C240" s="128" t="s">
        <v>9</v>
      </c>
      <c r="D240" s="127">
        <f>22.7+39.9+22+2</f>
        <v>86.6</v>
      </c>
      <c r="E240" s="118"/>
    </row>
    <row r="241" spans="1:10" ht="12.6" customHeight="1" x14ac:dyDescent="0.2">
      <c r="A241" s="121">
        <v>86</v>
      </c>
      <c r="B241" s="120"/>
      <c r="C241" s="134" t="s">
        <v>10</v>
      </c>
      <c r="D241" s="127">
        <f>19.9+14.9</f>
        <v>34.799999999999997</v>
      </c>
      <c r="E241" s="118"/>
    </row>
    <row r="242" spans="1:10" ht="12.6" customHeight="1" x14ac:dyDescent="0.2">
      <c r="A242" s="121">
        <v>87</v>
      </c>
      <c r="B242" s="120"/>
      <c r="C242" s="128" t="s">
        <v>12</v>
      </c>
      <c r="D242" s="127">
        <f>12.6+15.3</f>
        <v>27.9</v>
      </c>
      <c r="E242" s="118"/>
    </row>
    <row r="243" spans="1:10" ht="12.6" customHeight="1" x14ac:dyDescent="0.2">
      <c r="A243" s="121">
        <v>88</v>
      </c>
      <c r="B243" s="120"/>
      <c r="C243" s="128" t="s">
        <v>11</v>
      </c>
      <c r="D243" s="127">
        <f>20.5+17.2</f>
        <v>37.700000000000003</v>
      </c>
      <c r="E243" s="118"/>
    </row>
    <row r="244" spans="1:10" ht="12.6" customHeight="1" x14ac:dyDescent="0.2">
      <c r="A244" s="121">
        <v>89</v>
      </c>
      <c r="B244" s="120"/>
      <c r="C244" s="128" t="s">
        <v>13</v>
      </c>
      <c r="D244" s="127">
        <f>30.5+12.1</f>
        <v>42.6</v>
      </c>
      <c r="E244" s="118"/>
    </row>
    <row r="245" spans="1:10" ht="12.6" customHeight="1" x14ac:dyDescent="0.2">
      <c r="A245" s="121">
        <v>90</v>
      </c>
      <c r="B245" s="125"/>
      <c r="C245" s="128" t="s">
        <v>14</v>
      </c>
      <c r="D245" s="127">
        <f>39+32.9+2</f>
        <v>73.900000000000006</v>
      </c>
      <c r="E245" s="118"/>
    </row>
    <row r="246" spans="1:10" ht="12.6" customHeight="1" x14ac:dyDescent="0.2">
      <c r="A246" s="121">
        <v>91</v>
      </c>
      <c r="B246" s="120" t="s">
        <v>56</v>
      </c>
      <c r="C246" s="145" t="s">
        <v>57</v>
      </c>
      <c r="D246" s="146">
        <f>+D255+D256+D258+D257+D254+D259+D260+D262+D261+D263+D264+D247</f>
        <v>6574.9</v>
      </c>
      <c r="E246" s="118"/>
    </row>
    <row r="247" spans="1:10" x14ac:dyDescent="0.2">
      <c r="A247" s="121">
        <v>92</v>
      </c>
      <c r="B247" s="125"/>
      <c r="C247" s="134" t="s">
        <v>89</v>
      </c>
      <c r="D247" s="127">
        <f>+D248+D249+D250+D251+D252</f>
        <v>3346.5</v>
      </c>
      <c r="E247" s="118"/>
      <c r="H247" s="155"/>
    </row>
    <row r="248" spans="1:10" ht="12.6" customHeight="1" x14ac:dyDescent="0.2">
      <c r="A248" s="136" t="s">
        <v>465</v>
      </c>
      <c r="B248" s="125"/>
      <c r="C248" s="162" t="s">
        <v>3</v>
      </c>
      <c r="D248" s="127">
        <f>677.6-2.5</f>
        <v>675.1</v>
      </c>
      <c r="E248" s="118"/>
    </row>
    <row r="249" spans="1:10" x14ac:dyDescent="0.2">
      <c r="A249" s="136" t="s">
        <v>466</v>
      </c>
      <c r="B249" s="125"/>
      <c r="C249" s="149" t="s">
        <v>147</v>
      </c>
      <c r="D249" s="127">
        <v>494.4</v>
      </c>
      <c r="E249" s="118"/>
    </row>
    <row r="250" spans="1:10" x14ac:dyDescent="0.2">
      <c r="A250" s="136" t="s">
        <v>467</v>
      </c>
      <c r="B250" s="125"/>
      <c r="C250" s="149" t="s">
        <v>333</v>
      </c>
      <c r="D250" s="127">
        <f>1700+94</f>
        <v>1794</v>
      </c>
      <c r="E250" s="118"/>
      <c r="J250" s="155"/>
    </row>
    <row r="251" spans="1:10" ht="12.6" customHeight="1" x14ac:dyDescent="0.2">
      <c r="A251" s="136" t="s">
        <v>468</v>
      </c>
      <c r="B251" s="125"/>
      <c r="C251" s="149" t="s">
        <v>77</v>
      </c>
      <c r="D251" s="127">
        <v>333</v>
      </c>
      <c r="E251" s="118"/>
    </row>
    <row r="252" spans="1:10" ht="27" x14ac:dyDescent="0.2">
      <c r="A252" s="136" t="s">
        <v>469</v>
      </c>
      <c r="B252" s="125"/>
      <c r="C252" s="137" t="s">
        <v>232</v>
      </c>
      <c r="D252" s="138">
        <f>+D253</f>
        <v>50</v>
      </c>
      <c r="E252" s="118"/>
    </row>
    <row r="253" spans="1:10" ht="25.5" x14ac:dyDescent="0.2">
      <c r="A253" s="136" t="s">
        <v>470</v>
      </c>
      <c r="B253" s="125"/>
      <c r="C253" s="139" t="s">
        <v>334</v>
      </c>
      <c r="D253" s="144">
        <v>50</v>
      </c>
      <c r="E253" s="118"/>
    </row>
    <row r="254" spans="1:10" x14ac:dyDescent="0.2">
      <c r="A254" s="121">
        <v>93</v>
      </c>
      <c r="B254" s="125"/>
      <c r="C254" s="103" t="s">
        <v>8</v>
      </c>
      <c r="D254" s="127">
        <f>1732.5-38+171</f>
        <v>1865.5</v>
      </c>
      <c r="E254" s="118"/>
    </row>
    <row r="255" spans="1:10" x14ac:dyDescent="0.2">
      <c r="A255" s="121">
        <v>94</v>
      </c>
      <c r="B255" s="125"/>
      <c r="C255" s="128" t="s">
        <v>4</v>
      </c>
      <c r="D255" s="127">
        <f>156.7+4-3.3+2.8</f>
        <v>160.19999999999999</v>
      </c>
      <c r="E255" s="118"/>
    </row>
    <row r="256" spans="1:10" x14ac:dyDescent="0.2">
      <c r="A256" s="121">
        <v>95</v>
      </c>
      <c r="B256" s="125"/>
      <c r="C256" s="128" t="s">
        <v>5</v>
      </c>
      <c r="D256" s="127">
        <f>141.8+4.5</f>
        <v>146.30000000000001</v>
      </c>
      <c r="E256" s="118"/>
    </row>
    <row r="257" spans="1:5" x14ac:dyDescent="0.2">
      <c r="A257" s="121">
        <v>96</v>
      </c>
      <c r="B257" s="125"/>
      <c r="C257" s="128" t="s">
        <v>7</v>
      </c>
      <c r="D257" s="127">
        <f>124+15-6.2</f>
        <v>132.80000000000001</v>
      </c>
      <c r="E257" s="118"/>
    </row>
    <row r="258" spans="1:5" x14ac:dyDescent="0.2">
      <c r="A258" s="121">
        <v>97</v>
      </c>
      <c r="B258" s="125"/>
      <c r="C258" s="103" t="s">
        <v>6</v>
      </c>
      <c r="D258" s="127">
        <f>127.5+6+8.5+5.6+2.5</f>
        <v>150.1</v>
      </c>
      <c r="E258" s="118"/>
    </row>
    <row r="259" spans="1:5" x14ac:dyDescent="0.2">
      <c r="A259" s="121">
        <v>98</v>
      </c>
      <c r="B259" s="125"/>
      <c r="C259" s="128" t="s">
        <v>9</v>
      </c>
      <c r="D259" s="127">
        <f>104.5+5-3.6</f>
        <v>105.9</v>
      </c>
      <c r="E259" s="118"/>
    </row>
    <row r="260" spans="1:5" x14ac:dyDescent="0.2">
      <c r="A260" s="121">
        <v>99</v>
      </c>
      <c r="B260" s="125"/>
      <c r="C260" s="134" t="s">
        <v>10</v>
      </c>
      <c r="D260" s="127">
        <f>133.6-22.6</f>
        <v>111</v>
      </c>
      <c r="E260" s="118"/>
    </row>
    <row r="261" spans="1:5" x14ac:dyDescent="0.2">
      <c r="A261" s="121">
        <v>100</v>
      </c>
      <c r="B261" s="125"/>
      <c r="C261" s="128" t="s">
        <v>12</v>
      </c>
      <c r="D261" s="127">
        <f>81.7+6+30-13</f>
        <v>104.7</v>
      </c>
      <c r="E261" s="118"/>
    </row>
    <row r="262" spans="1:5" x14ac:dyDescent="0.2">
      <c r="A262" s="121">
        <v>101</v>
      </c>
      <c r="B262" s="125"/>
      <c r="C262" s="103" t="s">
        <v>11</v>
      </c>
      <c r="D262" s="127">
        <f>88.5+6.4</f>
        <v>94.9</v>
      </c>
      <c r="E262" s="118"/>
    </row>
    <row r="263" spans="1:5" x14ac:dyDescent="0.2">
      <c r="A263" s="121">
        <v>102</v>
      </c>
      <c r="B263" s="125"/>
      <c r="C263" s="128" t="s">
        <v>13</v>
      </c>
      <c r="D263" s="127">
        <f>94.4+4</f>
        <v>98.4</v>
      </c>
      <c r="E263" s="118"/>
    </row>
    <row r="264" spans="1:5" x14ac:dyDescent="0.2">
      <c r="A264" s="121">
        <v>103</v>
      </c>
      <c r="B264" s="125"/>
      <c r="C264" s="128" t="s">
        <v>14</v>
      </c>
      <c r="D264" s="127">
        <f>253.7+4.9</f>
        <v>258.59999999999997</v>
      </c>
      <c r="E264" s="118"/>
    </row>
    <row r="265" spans="1:5" x14ac:dyDescent="0.2">
      <c r="A265" s="121">
        <v>104</v>
      </c>
      <c r="B265" s="120" t="s">
        <v>26</v>
      </c>
      <c r="C265" s="145" t="s">
        <v>27</v>
      </c>
      <c r="D265" s="146">
        <f>+D266</f>
        <v>228.20000000000005</v>
      </c>
      <c r="E265" s="118"/>
    </row>
    <row r="266" spans="1:5" x14ac:dyDescent="0.2">
      <c r="A266" s="121">
        <v>105</v>
      </c>
      <c r="B266" s="120"/>
      <c r="C266" s="134" t="s">
        <v>92</v>
      </c>
      <c r="D266" s="127">
        <f>+D268+D267</f>
        <v>228.20000000000005</v>
      </c>
      <c r="E266" s="118"/>
    </row>
    <row r="267" spans="1:5" ht="12.6" customHeight="1" x14ac:dyDescent="0.2">
      <c r="A267" s="158" t="s">
        <v>471</v>
      </c>
      <c r="B267" s="120"/>
      <c r="C267" s="134" t="s">
        <v>61</v>
      </c>
      <c r="D267" s="127">
        <v>3</v>
      </c>
      <c r="E267" s="118"/>
    </row>
    <row r="268" spans="1:5" ht="27" x14ac:dyDescent="0.2">
      <c r="A268" s="158" t="s">
        <v>472</v>
      </c>
      <c r="B268" s="125"/>
      <c r="C268" s="137" t="s">
        <v>232</v>
      </c>
      <c r="D268" s="138">
        <f>SUM(D269:D275)</f>
        <v>225.20000000000005</v>
      </c>
      <c r="E268" s="118"/>
    </row>
    <row r="269" spans="1:5" x14ac:dyDescent="0.2">
      <c r="A269" s="158" t="s">
        <v>473</v>
      </c>
      <c r="B269" s="125"/>
      <c r="C269" s="128" t="s">
        <v>335</v>
      </c>
      <c r="D269" s="127">
        <v>40</v>
      </c>
      <c r="E269" s="118"/>
    </row>
    <row r="270" spans="1:5" x14ac:dyDescent="0.2">
      <c r="A270" s="158" t="s">
        <v>474</v>
      </c>
      <c r="B270" s="125"/>
      <c r="C270" s="128" t="s">
        <v>336</v>
      </c>
      <c r="D270" s="127">
        <v>35</v>
      </c>
      <c r="E270" s="118"/>
    </row>
    <row r="271" spans="1:5" ht="25.5" x14ac:dyDescent="0.2">
      <c r="A271" s="158" t="s">
        <v>475</v>
      </c>
      <c r="B271" s="125"/>
      <c r="C271" s="128" t="s">
        <v>337</v>
      </c>
      <c r="D271" s="127">
        <f>206-71</f>
        <v>135</v>
      </c>
      <c r="E271" s="118"/>
    </row>
    <row r="272" spans="1:5" ht="25.5" x14ac:dyDescent="0.2">
      <c r="A272" s="158" t="s">
        <v>476</v>
      </c>
      <c r="B272" s="125"/>
      <c r="C272" s="128" t="s">
        <v>338</v>
      </c>
      <c r="D272" s="127">
        <v>3.8</v>
      </c>
      <c r="E272" s="118"/>
    </row>
    <row r="273" spans="1:8" ht="25.5" x14ac:dyDescent="0.2">
      <c r="A273" s="158" t="s">
        <v>477</v>
      </c>
      <c r="B273" s="125"/>
      <c r="C273" s="128" t="s">
        <v>339</v>
      </c>
      <c r="D273" s="127">
        <v>3.8</v>
      </c>
      <c r="E273" s="118"/>
    </row>
    <row r="274" spans="1:8" ht="25.5" x14ac:dyDescent="0.2">
      <c r="A274" s="158" t="s">
        <v>478</v>
      </c>
      <c r="B274" s="125"/>
      <c r="C274" s="128" t="s">
        <v>340</v>
      </c>
      <c r="D274" s="127">
        <v>3.8</v>
      </c>
      <c r="E274" s="118"/>
    </row>
    <row r="275" spans="1:8" ht="25.5" x14ac:dyDescent="0.2">
      <c r="A275" s="158" t="s">
        <v>479</v>
      </c>
      <c r="B275" s="125"/>
      <c r="C275" s="128" t="s">
        <v>341</v>
      </c>
      <c r="D275" s="127">
        <v>3.8</v>
      </c>
      <c r="E275" s="118"/>
    </row>
    <row r="276" spans="1:8" x14ac:dyDescent="0.2">
      <c r="A276" s="121">
        <v>106</v>
      </c>
      <c r="B276" s="120" t="s">
        <v>58</v>
      </c>
      <c r="C276" s="145" t="s">
        <v>59</v>
      </c>
      <c r="D276" s="146">
        <f>+D277</f>
        <v>87</v>
      </c>
      <c r="E276" s="118"/>
    </row>
    <row r="277" spans="1:8" x14ac:dyDescent="0.2">
      <c r="A277" s="121">
        <v>107</v>
      </c>
      <c r="B277" s="120"/>
      <c r="C277" s="134" t="s">
        <v>89</v>
      </c>
      <c r="D277" s="127">
        <f>+D279+D280+D278+D281</f>
        <v>87</v>
      </c>
      <c r="E277" s="118"/>
    </row>
    <row r="278" spans="1:8" ht="12.6" customHeight="1" x14ac:dyDescent="0.2">
      <c r="A278" s="158" t="s">
        <v>206</v>
      </c>
      <c r="B278" s="120"/>
      <c r="C278" s="103" t="s">
        <v>61</v>
      </c>
      <c r="D278" s="127">
        <v>3</v>
      </c>
      <c r="E278" s="118"/>
    </row>
    <row r="279" spans="1:8" ht="25.5" x14ac:dyDescent="0.2">
      <c r="A279" s="158" t="s">
        <v>207</v>
      </c>
      <c r="B279" s="125"/>
      <c r="C279" s="103" t="s">
        <v>342</v>
      </c>
      <c r="D279" s="127">
        <v>44</v>
      </c>
      <c r="E279" s="118"/>
    </row>
    <row r="280" spans="1:8" ht="25.5" x14ac:dyDescent="0.2">
      <c r="A280" s="158" t="s">
        <v>480</v>
      </c>
      <c r="B280" s="125"/>
      <c r="C280" s="103" t="s">
        <v>343</v>
      </c>
      <c r="D280" s="127">
        <v>36</v>
      </c>
      <c r="E280" s="118"/>
    </row>
    <row r="281" spans="1:8" ht="38.25" x14ac:dyDescent="0.2">
      <c r="A281" s="158" t="s">
        <v>481</v>
      </c>
      <c r="B281" s="125"/>
      <c r="C281" s="103" t="s">
        <v>344</v>
      </c>
      <c r="D281" s="127">
        <v>4</v>
      </c>
      <c r="E281" s="118"/>
    </row>
    <row r="282" spans="1:8" x14ac:dyDescent="0.2">
      <c r="A282" s="121">
        <v>108</v>
      </c>
      <c r="B282" s="120" t="s">
        <v>23</v>
      </c>
      <c r="C282" s="145" t="s">
        <v>24</v>
      </c>
      <c r="D282" s="146">
        <f>+D283+D284+D285+D296+D297+D298+D299+D300+D301+D302+D303+D304+D305+D306</f>
        <v>9679.0999999999985</v>
      </c>
      <c r="E282" s="118"/>
    </row>
    <row r="283" spans="1:8" x14ac:dyDescent="0.2">
      <c r="A283" s="121">
        <v>109</v>
      </c>
      <c r="B283" s="120"/>
      <c r="C283" s="128" t="s">
        <v>25</v>
      </c>
      <c r="D283" s="127">
        <v>26.7</v>
      </c>
      <c r="E283" s="118"/>
    </row>
    <row r="284" spans="1:8" x14ac:dyDescent="0.2">
      <c r="A284" s="121">
        <v>110</v>
      </c>
      <c r="B284" s="120"/>
      <c r="C284" s="134" t="s">
        <v>60</v>
      </c>
      <c r="D284" s="127">
        <f>211.2+1+1</f>
        <v>213.2</v>
      </c>
      <c r="E284" s="118"/>
    </row>
    <row r="285" spans="1:8" x14ac:dyDescent="0.2">
      <c r="A285" s="121">
        <v>111</v>
      </c>
      <c r="B285" s="120"/>
      <c r="C285" s="134" t="s">
        <v>89</v>
      </c>
      <c r="D285" s="127">
        <f>+D286+D287+D288+D291+D292+D294+D289+D290+D293+D295</f>
        <v>8073</v>
      </c>
      <c r="E285" s="118"/>
    </row>
    <row r="286" spans="1:8" x14ac:dyDescent="0.2">
      <c r="A286" s="158" t="s">
        <v>482</v>
      </c>
      <c r="B286" s="120"/>
      <c r="C286" s="134" t="s">
        <v>61</v>
      </c>
      <c r="D286" s="127">
        <f>6431.8+20+29</f>
        <v>6480.8</v>
      </c>
      <c r="E286" s="118"/>
      <c r="F286" s="155"/>
      <c r="H286" s="118"/>
    </row>
    <row r="287" spans="1:8" x14ac:dyDescent="0.2">
      <c r="A287" s="158" t="s">
        <v>484</v>
      </c>
      <c r="B287" s="125"/>
      <c r="C287" s="103" t="s">
        <v>345</v>
      </c>
      <c r="D287" s="127">
        <v>123</v>
      </c>
      <c r="E287" s="118"/>
      <c r="H287" s="163"/>
    </row>
    <row r="288" spans="1:8" x14ac:dyDescent="0.2">
      <c r="A288" s="158" t="s">
        <v>483</v>
      </c>
      <c r="B288" s="125"/>
      <c r="C288" s="103" t="s">
        <v>346</v>
      </c>
      <c r="D288" s="127">
        <v>23.9</v>
      </c>
      <c r="E288" s="118"/>
      <c r="H288" s="163"/>
    </row>
    <row r="289" spans="1:8" x14ac:dyDescent="0.2">
      <c r="A289" s="158" t="s">
        <v>485</v>
      </c>
      <c r="B289" s="125"/>
      <c r="C289" s="103" t="s">
        <v>96</v>
      </c>
      <c r="D289" s="127">
        <v>400</v>
      </c>
      <c r="E289" s="118"/>
      <c r="H289" s="163"/>
    </row>
    <row r="290" spans="1:8" ht="12.6" customHeight="1" x14ac:dyDescent="0.2">
      <c r="A290" s="158" t="s">
        <v>486</v>
      </c>
      <c r="B290" s="125"/>
      <c r="C290" s="103" t="s">
        <v>156</v>
      </c>
      <c r="D290" s="127">
        <v>84.8</v>
      </c>
      <c r="E290" s="118"/>
      <c r="H290" s="163"/>
    </row>
    <row r="291" spans="1:8" ht="12.6" customHeight="1" x14ac:dyDescent="0.2">
      <c r="A291" s="158" t="s">
        <v>487</v>
      </c>
      <c r="B291" s="125"/>
      <c r="C291" s="103" t="s">
        <v>347</v>
      </c>
      <c r="D291" s="127">
        <f>790+3.3</f>
        <v>793.3</v>
      </c>
      <c r="E291" s="118"/>
      <c r="H291" s="163"/>
    </row>
    <row r="292" spans="1:8" x14ac:dyDescent="0.2">
      <c r="A292" s="158" t="s">
        <v>488</v>
      </c>
      <c r="B292" s="125"/>
      <c r="C292" s="103" t="s">
        <v>348</v>
      </c>
      <c r="D292" s="127">
        <f>17.5-2.5</f>
        <v>15</v>
      </c>
      <c r="E292" s="118"/>
      <c r="H292" s="163"/>
    </row>
    <row r="293" spans="1:8" ht="25.5" x14ac:dyDescent="0.2">
      <c r="A293" s="158" t="s">
        <v>489</v>
      </c>
      <c r="B293" s="120"/>
      <c r="C293" s="134" t="s">
        <v>349</v>
      </c>
      <c r="D293" s="127">
        <v>40</v>
      </c>
      <c r="E293" s="118"/>
      <c r="H293" s="163"/>
    </row>
    <row r="294" spans="1:8" ht="25.5" x14ac:dyDescent="0.2">
      <c r="A294" s="158" t="s">
        <v>490</v>
      </c>
      <c r="B294" s="125"/>
      <c r="C294" s="103" t="s">
        <v>350</v>
      </c>
      <c r="D294" s="127">
        <v>19.2</v>
      </c>
      <c r="E294" s="118"/>
      <c r="H294" s="163"/>
    </row>
    <row r="295" spans="1:8" x14ac:dyDescent="0.2">
      <c r="A295" s="158" t="s">
        <v>806</v>
      </c>
      <c r="B295" s="131"/>
      <c r="C295" s="103" t="s">
        <v>807</v>
      </c>
      <c r="D295" s="127">
        <v>93</v>
      </c>
      <c r="E295" s="118"/>
      <c r="H295" s="163"/>
    </row>
    <row r="296" spans="1:8" ht="12.6" customHeight="1" x14ac:dyDescent="0.2">
      <c r="A296" s="147">
        <v>112</v>
      </c>
      <c r="B296" s="131"/>
      <c r="C296" s="128" t="s">
        <v>8</v>
      </c>
      <c r="D296" s="127">
        <f>429.7-171</f>
        <v>258.7</v>
      </c>
      <c r="E296" s="118"/>
      <c r="F296" s="155"/>
      <c r="G296" s="155"/>
    </row>
    <row r="297" spans="1:8" x14ac:dyDescent="0.2">
      <c r="A297" s="147">
        <v>113</v>
      </c>
      <c r="B297" s="131"/>
      <c r="C297" s="128" t="s">
        <v>4</v>
      </c>
      <c r="D297" s="127">
        <f>87.4+12+2.4+3.7</f>
        <v>105.50000000000001</v>
      </c>
      <c r="E297" s="118"/>
      <c r="F297" s="155"/>
      <c r="G297" s="155"/>
    </row>
    <row r="298" spans="1:8" x14ac:dyDescent="0.2">
      <c r="A298" s="147">
        <v>114</v>
      </c>
      <c r="B298" s="131"/>
      <c r="C298" s="128" t="s">
        <v>5</v>
      </c>
      <c r="D298" s="127">
        <f>120.6-3.2</f>
        <v>117.39999999999999</v>
      </c>
      <c r="E298" s="118"/>
      <c r="F298" s="155"/>
      <c r="G298" s="155"/>
    </row>
    <row r="299" spans="1:8" ht="15" customHeight="1" x14ac:dyDescent="0.2">
      <c r="A299" s="147">
        <v>115</v>
      </c>
      <c r="B299" s="131"/>
      <c r="C299" s="128" t="s">
        <v>7</v>
      </c>
      <c r="D299" s="127">
        <f>88.1+6.3</f>
        <v>94.399999999999991</v>
      </c>
      <c r="E299" s="118"/>
      <c r="F299" s="155"/>
      <c r="G299" s="155"/>
    </row>
    <row r="300" spans="1:8" x14ac:dyDescent="0.2">
      <c r="A300" s="147">
        <v>116</v>
      </c>
      <c r="B300" s="131"/>
      <c r="C300" s="128" t="s">
        <v>6</v>
      </c>
      <c r="D300" s="127">
        <f>83.3+6.2</f>
        <v>89.5</v>
      </c>
      <c r="E300" s="118"/>
      <c r="F300" s="155"/>
      <c r="G300" s="155"/>
    </row>
    <row r="301" spans="1:8" x14ac:dyDescent="0.2">
      <c r="A301" s="147">
        <v>117</v>
      </c>
      <c r="B301" s="131"/>
      <c r="C301" s="128" t="s">
        <v>9</v>
      </c>
      <c r="D301" s="127">
        <f>95.7+1.9</f>
        <v>97.600000000000009</v>
      </c>
      <c r="E301" s="118"/>
      <c r="F301" s="155"/>
      <c r="G301" s="155"/>
    </row>
    <row r="302" spans="1:8" x14ac:dyDescent="0.2">
      <c r="A302" s="147">
        <v>118</v>
      </c>
      <c r="B302" s="131"/>
      <c r="C302" s="134" t="s">
        <v>10</v>
      </c>
      <c r="D302" s="127">
        <f>135.8+20.5</f>
        <v>156.30000000000001</v>
      </c>
      <c r="E302" s="118"/>
      <c r="F302" s="155"/>
      <c r="G302" s="155"/>
    </row>
    <row r="303" spans="1:8" x14ac:dyDescent="0.2">
      <c r="A303" s="147">
        <v>119</v>
      </c>
      <c r="B303" s="131"/>
      <c r="C303" s="128" t="s">
        <v>12</v>
      </c>
      <c r="D303" s="127">
        <f>83.1+13+2</f>
        <v>98.1</v>
      </c>
      <c r="E303" s="118"/>
      <c r="F303" s="155"/>
      <c r="G303" s="155"/>
    </row>
    <row r="304" spans="1:8" x14ac:dyDescent="0.2">
      <c r="A304" s="147">
        <v>120</v>
      </c>
      <c r="B304" s="131"/>
      <c r="C304" s="128" t="s">
        <v>11</v>
      </c>
      <c r="D304" s="127">
        <f>120.3-5.5</f>
        <v>114.8</v>
      </c>
      <c r="E304" s="118"/>
      <c r="F304" s="155"/>
      <c r="G304" s="155"/>
    </row>
    <row r="305" spans="1:11" ht="15.75" customHeight="1" x14ac:dyDescent="0.2">
      <c r="A305" s="147">
        <v>121</v>
      </c>
      <c r="B305" s="131"/>
      <c r="C305" s="128" t="s">
        <v>13</v>
      </c>
      <c r="D305" s="127">
        <f>111.1-4.7</f>
        <v>106.39999999999999</v>
      </c>
      <c r="E305" s="118"/>
      <c r="F305" s="155"/>
      <c r="G305" s="155"/>
    </row>
    <row r="306" spans="1:11" x14ac:dyDescent="0.2">
      <c r="A306" s="147">
        <v>122</v>
      </c>
      <c r="B306" s="131"/>
      <c r="C306" s="128" t="s">
        <v>14</v>
      </c>
      <c r="D306" s="127">
        <f>130.4-2.9</f>
        <v>127.5</v>
      </c>
      <c r="E306" s="118"/>
      <c r="F306" s="155"/>
      <c r="G306" s="155"/>
    </row>
    <row r="307" spans="1:11" ht="14.25" x14ac:dyDescent="0.2">
      <c r="A307" s="121">
        <v>123</v>
      </c>
      <c r="B307" s="125"/>
      <c r="C307" s="164" t="s">
        <v>20</v>
      </c>
      <c r="D307" s="138">
        <f>+D10+D63+D90+D140+D172+D196+D210+D246+D265+D276+D282</f>
        <v>60193.200000000004</v>
      </c>
      <c r="E307" s="165"/>
      <c r="F307" s="165"/>
      <c r="G307" s="165"/>
      <c r="H307" s="165"/>
      <c r="I307" s="165"/>
      <c r="J307" s="165"/>
    </row>
    <row r="308" spans="1:11" x14ac:dyDescent="0.2">
      <c r="C308" s="107"/>
      <c r="E308" s="166"/>
    </row>
    <row r="309" spans="1:11" x14ac:dyDescent="0.2">
      <c r="A309" s="109" t="s">
        <v>111</v>
      </c>
      <c r="B309" s="109"/>
      <c r="C309" s="109"/>
      <c r="D309" s="109"/>
      <c r="E309" s="155"/>
      <c r="H309" s="118"/>
      <c r="I309" s="118"/>
      <c r="J309" s="118"/>
    </row>
    <row r="310" spans="1:11" x14ac:dyDescent="0.2">
      <c r="C310" s="167"/>
      <c r="D310" s="168"/>
      <c r="E310" s="118"/>
      <c r="H310" s="118"/>
      <c r="K310" s="118"/>
    </row>
    <row r="311" spans="1:11" x14ac:dyDescent="0.2">
      <c r="C311" s="107"/>
      <c r="D311" s="169"/>
      <c r="G311" s="118"/>
    </row>
    <row r="312" spans="1:11" ht="15.75" x14ac:dyDescent="0.2">
      <c r="C312" s="170"/>
      <c r="D312" s="169"/>
    </row>
    <row r="313" spans="1:11" x14ac:dyDescent="0.2">
      <c r="C313" s="107"/>
      <c r="D313" s="155"/>
    </row>
    <row r="314" spans="1:11" x14ac:dyDescent="0.2">
      <c r="C314" s="107"/>
      <c r="D314" s="109"/>
    </row>
    <row r="315" spans="1:11" x14ac:dyDescent="0.2">
      <c r="C315" s="171"/>
      <c r="D315" s="155"/>
      <c r="E315" s="172"/>
    </row>
    <row r="316" spans="1:11" x14ac:dyDescent="0.2">
      <c r="C316" s="171"/>
      <c r="D316" s="172"/>
      <c r="E316" s="173"/>
    </row>
    <row r="317" spans="1:11" x14ac:dyDescent="0.2">
      <c r="C317" s="171"/>
      <c r="D317" s="172"/>
    </row>
    <row r="318" spans="1:11" ht="15.75" x14ac:dyDescent="0.2">
      <c r="C318" s="170"/>
      <c r="D318" s="174"/>
    </row>
    <row r="319" spans="1:11" x14ac:dyDescent="0.2">
      <c r="C319" s="107"/>
    </row>
    <row r="320" spans="1:11" x14ac:dyDescent="0.2">
      <c r="C320" s="107"/>
      <c r="D320" s="175"/>
    </row>
    <row r="321" spans="3:5" x14ac:dyDescent="0.2">
      <c r="C321" s="107"/>
    </row>
    <row r="322" spans="3:5" x14ac:dyDescent="0.2">
      <c r="E322" s="118"/>
    </row>
    <row r="323" spans="3:5" x14ac:dyDescent="0.2">
      <c r="C323" s="107"/>
      <c r="D323" s="172"/>
    </row>
    <row r="324" spans="3:5" x14ac:dyDescent="0.2">
      <c r="C324" s="107"/>
      <c r="D324" s="175"/>
    </row>
    <row r="325" spans="3:5" x14ac:dyDescent="0.2">
      <c r="C325" s="167"/>
      <c r="D325" s="168"/>
    </row>
    <row r="326" spans="3:5" x14ac:dyDescent="0.2">
      <c r="C326" s="107"/>
      <c r="D326" s="176"/>
    </row>
    <row r="327" spans="3:5" x14ac:dyDescent="0.2">
      <c r="D327" s="168"/>
    </row>
    <row r="328" spans="3:5" x14ac:dyDescent="0.2">
      <c r="D328" s="168"/>
    </row>
    <row r="329" spans="3:5" x14ac:dyDescent="0.2">
      <c r="D329" s="168"/>
    </row>
    <row r="331" spans="3:5" x14ac:dyDescent="0.2">
      <c r="D331" s="168"/>
    </row>
    <row r="333" spans="3:5" x14ac:dyDescent="0.2">
      <c r="D333" s="168"/>
    </row>
    <row r="342" spans="4:4" x14ac:dyDescent="0.2">
      <c r="D342" s="168"/>
    </row>
  </sheetData>
  <mergeCells count="33">
    <mergeCell ref="C1:D1"/>
    <mergeCell ref="C2:D2"/>
    <mergeCell ref="A5:D5"/>
    <mergeCell ref="A36:A37"/>
    <mergeCell ref="B36:B37"/>
    <mergeCell ref="A124:A125"/>
    <mergeCell ref="B124:B125"/>
    <mergeCell ref="A127:A128"/>
    <mergeCell ref="A91:A92"/>
    <mergeCell ref="B91:B92"/>
    <mergeCell ref="B127:B128"/>
    <mergeCell ref="G54:H54"/>
    <mergeCell ref="G119:H119"/>
    <mergeCell ref="A120:A121"/>
    <mergeCell ref="B120:B121"/>
    <mergeCell ref="A122:A123"/>
    <mergeCell ref="B122:B123"/>
    <mergeCell ref="A64:A65"/>
    <mergeCell ref="A138:A139"/>
    <mergeCell ref="B138:B139"/>
    <mergeCell ref="F203:G203"/>
    <mergeCell ref="A144:A151"/>
    <mergeCell ref="B144:B151"/>
    <mergeCell ref="A180:A181"/>
    <mergeCell ref="B180:B181"/>
    <mergeCell ref="A130:A131"/>
    <mergeCell ref="A134:A135"/>
    <mergeCell ref="B134:B135"/>
    <mergeCell ref="A136:A137"/>
    <mergeCell ref="B136:B137"/>
    <mergeCell ref="B130:B131"/>
    <mergeCell ref="A132:A133"/>
    <mergeCell ref="B132:B133"/>
  </mergeCells>
  <phoneticPr fontId="10" type="noConversion"/>
  <pageMargins left="0.70866141732283472" right="0" top="0.74803149606299213" bottom="0.39370078740157483" header="0.31496062992125984" footer="0.31496062992125984"/>
  <pageSetup paperSize="9" fitToHeight="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55"/>
  <sheetViews>
    <sheetView zoomScaleNormal="100" workbookViewId="0">
      <selection activeCell="D3" sqref="D3"/>
    </sheetView>
  </sheetViews>
  <sheetFormatPr defaultColWidth="9.140625" defaultRowHeight="12.75" x14ac:dyDescent="0.2"/>
  <cols>
    <col min="1" max="1" width="5.85546875" style="2" customWidth="1"/>
    <col min="2" max="2" width="7.5703125" style="12" customWidth="1"/>
    <col min="3" max="3" width="70" style="2" customWidth="1"/>
    <col min="4" max="4" width="9.7109375" style="11" customWidth="1"/>
    <col min="5" max="8" width="9.140625" style="1" customWidth="1"/>
    <col min="9" max="16384" width="9.140625" style="1"/>
  </cols>
  <sheetData>
    <row r="1" spans="1:12" ht="15.75" x14ac:dyDescent="0.25">
      <c r="C1" s="264" t="s">
        <v>573</v>
      </c>
      <c r="D1" s="264"/>
    </row>
    <row r="2" spans="1:12" ht="15.75" x14ac:dyDescent="0.25">
      <c r="C2" s="264" t="s">
        <v>794</v>
      </c>
      <c r="D2" s="264"/>
    </row>
    <row r="3" spans="1:12" ht="15.75" x14ac:dyDescent="0.2">
      <c r="D3" s="112" t="s">
        <v>809</v>
      </c>
    </row>
    <row r="5" spans="1:12" ht="18.75" customHeight="1" x14ac:dyDescent="0.2">
      <c r="A5" s="266" t="s">
        <v>214</v>
      </c>
      <c r="B5" s="266"/>
      <c r="C5" s="266"/>
      <c r="D5" s="266"/>
    </row>
    <row r="6" spans="1:12" x14ac:dyDescent="0.2">
      <c r="D6" s="81" t="s">
        <v>71</v>
      </c>
    </row>
    <row r="7" spans="1:12" ht="43.5" customHeight="1" x14ac:dyDescent="0.2">
      <c r="A7" s="63" t="s">
        <v>68</v>
      </c>
      <c r="B7" s="82" t="s">
        <v>186</v>
      </c>
      <c r="C7" s="63" t="s">
        <v>16</v>
      </c>
      <c r="D7" s="63" t="s">
        <v>17</v>
      </c>
    </row>
    <row r="8" spans="1:12" x14ac:dyDescent="0.2">
      <c r="A8" s="83">
        <v>1</v>
      </c>
      <c r="B8" s="84" t="s">
        <v>18</v>
      </c>
      <c r="C8" s="63">
        <v>3</v>
      </c>
      <c r="D8" s="63">
        <v>4</v>
      </c>
    </row>
    <row r="9" spans="1:12" x14ac:dyDescent="0.2">
      <c r="A9" s="85">
        <v>1</v>
      </c>
      <c r="B9" s="84" t="s">
        <v>47</v>
      </c>
      <c r="C9" s="86" t="s">
        <v>48</v>
      </c>
      <c r="D9" s="177">
        <f>SUM(D10:D23)</f>
        <v>254.9</v>
      </c>
      <c r="E9" s="3"/>
      <c r="I9" s="3"/>
      <c r="J9" s="3"/>
      <c r="K9" s="3"/>
      <c r="L9" s="3"/>
    </row>
    <row r="10" spans="1:12" ht="12.6" customHeight="1" x14ac:dyDescent="0.2">
      <c r="A10" s="85">
        <v>2</v>
      </c>
      <c r="B10" s="97"/>
      <c r="C10" s="67" t="s">
        <v>87</v>
      </c>
      <c r="D10" s="178">
        <v>11.6</v>
      </c>
      <c r="E10" s="3"/>
      <c r="I10" s="3"/>
      <c r="J10" s="3"/>
      <c r="K10" s="3"/>
      <c r="L10" s="3"/>
    </row>
    <row r="11" spans="1:12" ht="12.6" customHeight="1" x14ac:dyDescent="0.2">
      <c r="A11" s="85">
        <v>3</v>
      </c>
      <c r="B11" s="97"/>
      <c r="C11" s="67" t="s">
        <v>38</v>
      </c>
      <c r="D11" s="178">
        <v>1.3</v>
      </c>
      <c r="E11" s="3"/>
      <c r="I11" s="3"/>
      <c r="J11" s="3"/>
      <c r="K11" s="3"/>
      <c r="L11" s="3"/>
    </row>
    <row r="12" spans="1:12" ht="12.6" customHeight="1" x14ac:dyDescent="0.2">
      <c r="A12" s="85">
        <v>4</v>
      </c>
      <c r="B12" s="97"/>
      <c r="C12" s="71" t="s">
        <v>73</v>
      </c>
      <c r="D12" s="178">
        <f>1+0.3</f>
        <v>1.3</v>
      </c>
      <c r="E12" s="3"/>
      <c r="I12" s="3"/>
      <c r="J12" s="3"/>
      <c r="K12" s="3"/>
      <c r="L12" s="3"/>
    </row>
    <row r="13" spans="1:12" ht="12.6" customHeight="1" x14ac:dyDescent="0.2">
      <c r="A13" s="85">
        <v>5</v>
      </c>
      <c r="B13" s="97"/>
      <c r="C13" s="71" t="s">
        <v>74</v>
      </c>
      <c r="D13" s="178">
        <v>3.9</v>
      </c>
      <c r="E13" s="3"/>
      <c r="I13" s="3"/>
      <c r="J13" s="3"/>
      <c r="K13" s="3"/>
      <c r="L13" s="3"/>
    </row>
    <row r="14" spans="1:12" ht="12.6" customHeight="1" x14ac:dyDescent="0.2">
      <c r="A14" s="85">
        <v>6</v>
      </c>
      <c r="B14" s="97"/>
      <c r="C14" s="71" t="s">
        <v>32</v>
      </c>
      <c r="D14" s="178">
        <v>3.4</v>
      </c>
      <c r="E14" s="3"/>
      <c r="I14" s="3"/>
      <c r="J14" s="3"/>
      <c r="K14" s="3"/>
      <c r="L14" s="3"/>
    </row>
    <row r="15" spans="1:12" ht="12.6" customHeight="1" x14ac:dyDescent="0.2">
      <c r="A15" s="85">
        <v>7</v>
      </c>
      <c r="B15" s="97"/>
      <c r="C15" s="67" t="s">
        <v>76</v>
      </c>
      <c r="D15" s="178">
        <v>2.2999999999999998</v>
      </c>
      <c r="E15" s="3"/>
      <c r="I15" s="3"/>
      <c r="J15" s="3"/>
      <c r="K15" s="3"/>
      <c r="L15" s="3"/>
    </row>
    <row r="16" spans="1:12" ht="12.6" customHeight="1" x14ac:dyDescent="0.2">
      <c r="A16" s="85">
        <v>8</v>
      </c>
      <c r="B16" s="97"/>
      <c r="C16" s="71" t="s">
        <v>85</v>
      </c>
      <c r="D16" s="178">
        <f>48.7-9</f>
        <v>39.700000000000003</v>
      </c>
      <c r="E16" s="3"/>
      <c r="I16" s="3"/>
      <c r="J16" s="3"/>
      <c r="K16" s="3"/>
      <c r="L16" s="3"/>
    </row>
    <row r="17" spans="1:12" ht="12.6" customHeight="1" x14ac:dyDescent="0.2">
      <c r="A17" s="85">
        <v>9</v>
      </c>
      <c r="B17" s="97"/>
      <c r="C17" s="67" t="s">
        <v>86</v>
      </c>
      <c r="D17" s="178">
        <v>3.5</v>
      </c>
      <c r="E17" s="3"/>
      <c r="I17" s="3"/>
      <c r="J17" s="3"/>
      <c r="K17" s="3"/>
      <c r="L17" s="3"/>
    </row>
    <row r="18" spans="1:12" ht="12.6" customHeight="1" x14ac:dyDescent="0.2">
      <c r="A18" s="85">
        <v>10</v>
      </c>
      <c r="B18" s="97"/>
      <c r="C18" s="71" t="s">
        <v>33</v>
      </c>
      <c r="D18" s="178">
        <f>0.5-0.1</f>
        <v>0.4</v>
      </c>
      <c r="E18" s="3"/>
      <c r="I18" s="3"/>
      <c r="J18" s="3"/>
      <c r="K18" s="3"/>
      <c r="L18" s="3"/>
    </row>
    <row r="19" spans="1:12" ht="12.6" customHeight="1" x14ac:dyDescent="0.2">
      <c r="A19" s="85">
        <v>11</v>
      </c>
      <c r="B19" s="97"/>
      <c r="C19" s="71" t="s">
        <v>64</v>
      </c>
      <c r="D19" s="178">
        <f>95.1+61.7</f>
        <v>156.80000000000001</v>
      </c>
      <c r="E19" s="3"/>
      <c r="I19" s="3"/>
      <c r="J19" s="3"/>
      <c r="K19" s="3"/>
      <c r="L19" s="3"/>
    </row>
    <row r="20" spans="1:12" ht="12.6" customHeight="1" x14ac:dyDescent="0.2">
      <c r="A20" s="85">
        <v>12</v>
      </c>
      <c r="B20" s="97"/>
      <c r="C20" s="67" t="s">
        <v>185</v>
      </c>
      <c r="D20" s="178">
        <f>3+2.5</f>
        <v>5.5</v>
      </c>
      <c r="E20" s="3"/>
      <c r="I20" s="3"/>
      <c r="J20" s="3"/>
      <c r="K20" s="3"/>
      <c r="L20" s="3"/>
    </row>
    <row r="21" spans="1:12" ht="12.6" customHeight="1" x14ac:dyDescent="0.2">
      <c r="A21" s="85">
        <v>13</v>
      </c>
      <c r="B21" s="97"/>
      <c r="C21" s="67" t="s">
        <v>39</v>
      </c>
      <c r="D21" s="178">
        <v>0.7</v>
      </c>
      <c r="E21" s="3"/>
      <c r="I21" s="3"/>
      <c r="J21" s="3"/>
      <c r="K21" s="3"/>
      <c r="L21" s="3"/>
    </row>
    <row r="22" spans="1:12" ht="12.6" customHeight="1" x14ac:dyDescent="0.2">
      <c r="A22" s="85">
        <v>14</v>
      </c>
      <c r="B22" s="97"/>
      <c r="C22" s="76" t="s">
        <v>40</v>
      </c>
      <c r="D22" s="178">
        <v>2</v>
      </c>
      <c r="E22" s="3"/>
      <c r="I22" s="3"/>
      <c r="J22" s="3"/>
      <c r="K22" s="3"/>
      <c r="L22" s="3"/>
    </row>
    <row r="23" spans="1:12" ht="12.6" customHeight="1" x14ac:dyDescent="0.2">
      <c r="A23" s="85">
        <v>15</v>
      </c>
      <c r="B23" s="97"/>
      <c r="C23" s="76" t="s">
        <v>107</v>
      </c>
      <c r="D23" s="178">
        <v>22.5</v>
      </c>
      <c r="E23" s="3"/>
      <c r="I23" s="3"/>
      <c r="J23" s="3"/>
      <c r="K23" s="3"/>
      <c r="L23" s="3"/>
    </row>
    <row r="24" spans="1:12" ht="12.6" customHeight="1" x14ac:dyDescent="0.2">
      <c r="A24" s="85">
        <v>16</v>
      </c>
      <c r="B24" s="84" t="s">
        <v>49</v>
      </c>
      <c r="C24" s="98" t="s">
        <v>50</v>
      </c>
      <c r="D24" s="177">
        <f>SUM(D25:D25)</f>
        <v>14.6</v>
      </c>
      <c r="E24" s="3"/>
      <c r="I24" s="3"/>
      <c r="J24" s="3"/>
      <c r="K24" s="3"/>
      <c r="L24" s="3"/>
    </row>
    <row r="25" spans="1:12" x14ac:dyDescent="0.2">
      <c r="A25" s="85">
        <v>17</v>
      </c>
      <c r="B25" s="97"/>
      <c r="C25" s="72" t="s">
        <v>109</v>
      </c>
      <c r="D25" s="178">
        <v>14.6</v>
      </c>
      <c r="E25" s="3"/>
      <c r="I25" s="3"/>
      <c r="J25" s="3"/>
      <c r="K25" s="3"/>
      <c r="L25" s="3"/>
    </row>
    <row r="26" spans="1:12" ht="12.6" customHeight="1" x14ac:dyDescent="0.2">
      <c r="A26" s="85">
        <v>18</v>
      </c>
      <c r="B26" s="84" t="s">
        <v>21</v>
      </c>
      <c r="C26" s="98" t="s">
        <v>22</v>
      </c>
      <c r="D26" s="177">
        <f>SUM(D27:D27)</f>
        <v>122.3</v>
      </c>
      <c r="E26" s="3"/>
      <c r="I26" s="3"/>
      <c r="J26" s="3"/>
      <c r="K26" s="3"/>
      <c r="L26" s="3"/>
    </row>
    <row r="27" spans="1:12" x14ac:dyDescent="0.2">
      <c r="A27" s="85">
        <v>19</v>
      </c>
      <c r="B27" s="97"/>
      <c r="C27" s="75" t="s">
        <v>1</v>
      </c>
      <c r="D27" s="178">
        <f>116.3+6</f>
        <v>122.3</v>
      </c>
      <c r="E27" s="3"/>
      <c r="I27" s="3"/>
      <c r="J27" s="3"/>
      <c r="K27" s="3"/>
      <c r="L27" s="3"/>
    </row>
    <row r="28" spans="1:12" x14ac:dyDescent="0.2">
      <c r="A28" s="85">
        <v>20</v>
      </c>
      <c r="B28" s="84" t="s">
        <v>51</v>
      </c>
      <c r="C28" s="98" t="s">
        <v>97</v>
      </c>
      <c r="D28" s="177">
        <f>+D29</f>
        <v>28.8</v>
      </c>
      <c r="E28" s="3"/>
      <c r="F28" s="3"/>
      <c r="I28" s="3"/>
      <c r="J28" s="3"/>
      <c r="K28" s="3"/>
      <c r="L28" s="3"/>
    </row>
    <row r="29" spans="1:12" ht="12.75" customHeight="1" x14ac:dyDescent="0.2">
      <c r="A29" s="85">
        <v>21</v>
      </c>
      <c r="B29" s="97"/>
      <c r="C29" s="67" t="s">
        <v>65</v>
      </c>
      <c r="D29" s="178">
        <v>28.8</v>
      </c>
      <c r="E29" s="3"/>
      <c r="I29" s="3"/>
      <c r="J29" s="3"/>
      <c r="K29" s="3"/>
      <c r="L29" s="3"/>
    </row>
    <row r="30" spans="1:12" ht="12.6" customHeight="1" x14ac:dyDescent="0.2">
      <c r="A30" s="85">
        <v>22</v>
      </c>
      <c r="B30" s="84" t="s">
        <v>52</v>
      </c>
      <c r="C30" s="98" t="s">
        <v>53</v>
      </c>
      <c r="D30" s="177">
        <f>SUM(D31:D38)</f>
        <v>98.9</v>
      </c>
      <c r="E30" s="3"/>
      <c r="I30" s="3"/>
      <c r="J30" s="3"/>
      <c r="K30" s="3"/>
      <c r="L30" s="3"/>
    </row>
    <row r="31" spans="1:12" x14ac:dyDescent="0.2">
      <c r="A31" s="85">
        <v>23</v>
      </c>
      <c r="B31" s="97"/>
      <c r="C31" s="76" t="s">
        <v>36</v>
      </c>
      <c r="D31" s="178">
        <f>11+10</f>
        <v>21</v>
      </c>
      <c r="E31" s="3"/>
      <c r="I31" s="3"/>
      <c r="J31" s="3"/>
      <c r="K31" s="3"/>
      <c r="L31" s="3"/>
    </row>
    <row r="32" spans="1:12" ht="12.6" customHeight="1" x14ac:dyDescent="0.2">
      <c r="A32" s="85">
        <v>24</v>
      </c>
      <c r="B32" s="97"/>
      <c r="C32" s="76" t="s">
        <v>41</v>
      </c>
      <c r="D32" s="178">
        <v>0.8</v>
      </c>
      <c r="E32" s="3"/>
      <c r="I32" s="3"/>
      <c r="J32" s="3"/>
      <c r="K32" s="3"/>
      <c r="L32" s="3"/>
    </row>
    <row r="33" spans="1:12" ht="12.6" customHeight="1" x14ac:dyDescent="0.2">
      <c r="A33" s="85">
        <v>25</v>
      </c>
      <c r="B33" s="97"/>
      <c r="C33" s="76" t="s">
        <v>42</v>
      </c>
      <c r="D33" s="178">
        <v>1.3</v>
      </c>
      <c r="E33" s="3"/>
      <c r="I33" s="3"/>
      <c r="J33" s="3"/>
      <c r="K33" s="3"/>
      <c r="L33" s="3"/>
    </row>
    <row r="34" spans="1:12" ht="12.6" customHeight="1" x14ac:dyDescent="0.2">
      <c r="A34" s="85">
        <v>26</v>
      </c>
      <c r="B34" s="97"/>
      <c r="C34" s="76" t="s">
        <v>37</v>
      </c>
      <c r="D34" s="178">
        <f>1+6</f>
        <v>7</v>
      </c>
      <c r="E34" s="3"/>
      <c r="I34" s="3"/>
      <c r="J34" s="3"/>
      <c r="K34" s="3"/>
      <c r="L34" s="3"/>
    </row>
    <row r="35" spans="1:12" ht="12.6" customHeight="1" x14ac:dyDescent="0.2">
      <c r="A35" s="85">
        <v>27</v>
      </c>
      <c r="B35" s="97"/>
      <c r="C35" s="76" t="s">
        <v>43</v>
      </c>
      <c r="D35" s="178">
        <v>0.9</v>
      </c>
      <c r="E35" s="3"/>
      <c r="I35" s="3"/>
      <c r="J35" s="3"/>
      <c r="K35" s="3"/>
      <c r="L35" s="3"/>
    </row>
    <row r="36" spans="1:12" ht="12.6" customHeight="1" x14ac:dyDescent="0.2">
      <c r="A36" s="85">
        <v>28</v>
      </c>
      <c r="B36" s="97"/>
      <c r="C36" s="76" t="s">
        <v>44</v>
      </c>
      <c r="D36" s="178">
        <v>0.7</v>
      </c>
      <c r="E36" s="3"/>
      <c r="I36" s="3"/>
      <c r="J36" s="3"/>
      <c r="K36" s="3"/>
      <c r="L36" s="3"/>
    </row>
    <row r="37" spans="1:12" ht="12.6" customHeight="1" x14ac:dyDescent="0.2">
      <c r="A37" s="85">
        <v>29</v>
      </c>
      <c r="B37" s="97"/>
      <c r="C37" s="72" t="s">
        <v>45</v>
      </c>
      <c r="D37" s="178">
        <v>1.8</v>
      </c>
      <c r="E37" s="3"/>
      <c r="I37" s="3"/>
      <c r="J37" s="3"/>
      <c r="K37" s="3"/>
      <c r="L37" s="3"/>
    </row>
    <row r="38" spans="1:12" ht="12.6" customHeight="1" x14ac:dyDescent="0.2">
      <c r="A38" s="85">
        <v>30</v>
      </c>
      <c r="B38" s="97"/>
      <c r="C38" s="76" t="s">
        <v>35</v>
      </c>
      <c r="D38" s="178">
        <v>65.400000000000006</v>
      </c>
      <c r="E38" s="3"/>
      <c r="I38" s="3"/>
      <c r="J38" s="3"/>
      <c r="K38" s="3"/>
      <c r="L38" s="3"/>
    </row>
    <row r="39" spans="1:12" ht="12.6" customHeight="1" x14ac:dyDescent="0.2">
      <c r="A39" s="85">
        <v>31</v>
      </c>
      <c r="B39" s="84" t="s">
        <v>56</v>
      </c>
      <c r="C39" s="98" t="s">
        <v>57</v>
      </c>
      <c r="D39" s="177">
        <f>SUM(D40:D44)</f>
        <v>12.3</v>
      </c>
      <c r="E39" s="3"/>
      <c r="I39" s="3"/>
      <c r="J39" s="3"/>
      <c r="K39" s="3"/>
      <c r="L39" s="3"/>
    </row>
    <row r="40" spans="1:12" x14ac:dyDescent="0.2">
      <c r="A40" s="85">
        <v>32</v>
      </c>
      <c r="B40" s="97"/>
      <c r="C40" s="75" t="s">
        <v>5</v>
      </c>
      <c r="D40" s="178">
        <v>1.4</v>
      </c>
      <c r="E40" s="3"/>
      <c r="I40" s="3"/>
      <c r="J40" s="3"/>
      <c r="K40" s="3"/>
      <c r="L40" s="3"/>
    </row>
    <row r="41" spans="1:12" ht="12.6" customHeight="1" x14ac:dyDescent="0.2">
      <c r="A41" s="85">
        <v>33</v>
      </c>
      <c r="B41" s="84"/>
      <c r="C41" s="75" t="s">
        <v>7</v>
      </c>
      <c r="D41" s="178">
        <v>6.5</v>
      </c>
      <c r="E41" s="3"/>
      <c r="I41" s="3"/>
      <c r="J41" s="3"/>
      <c r="K41" s="3"/>
      <c r="L41" s="3"/>
    </row>
    <row r="42" spans="1:12" x14ac:dyDescent="0.2">
      <c r="A42" s="85">
        <v>34</v>
      </c>
      <c r="B42" s="97"/>
      <c r="C42" s="72" t="s">
        <v>6</v>
      </c>
      <c r="D42" s="178">
        <v>0.6</v>
      </c>
      <c r="E42" s="3"/>
      <c r="I42" s="3"/>
      <c r="J42" s="3"/>
      <c r="K42" s="3"/>
      <c r="L42" s="3"/>
    </row>
    <row r="43" spans="1:12" ht="12.6" customHeight="1" x14ac:dyDescent="0.2">
      <c r="A43" s="85">
        <v>35</v>
      </c>
      <c r="B43" s="97"/>
      <c r="C43" s="75" t="s">
        <v>12</v>
      </c>
      <c r="D43" s="178">
        <v>0.1</v>
      </c>
      <c r="E43" s="3"/>
      <c r="I43" s="3"/>
      <c r="J43" s="3"/>
      <c r="K43" s="3"/>
      <c r="L43" s="3"/>
    </row>
    <row r="44" spans="1:12" ht="12.6" customHeight="1" x14ac:dyDescent="0.2">
      <c r="A44" s="85">
        <v>36</v>
      </c>
      <c r="B44" s="84"/>
      <c r="C44" s="75" t="s">
        <v>11</v>
      </c>
      <c r="D44" s="178">
        <v>3.7</v>
      </c>
      <c r="E44" s="3"/>
      <c r="I44" s="3"/>
      <c r="J44" s="3"/>
      <c r="K44" s="3"/>
      <c r="L44" s="3"/>
    </row>
    <row r="45" spans="1:12" ht="12.6" customHeight="1" x14ac:dyDescent="0.2">
      <c r="A45" s="85">
        <v>37</v>
      </c>
      <c r="B45" s="84" t="s">
        <v>23</v>
      </c>
      <c r="C45" s="98" t="s">
        <v>24</v>
      </c>
      <c r="D45" s="177">
        <f>SUM(D46:D49)</f>
        <v>5.8000000000000007</v>
      </c>
      <c r="E45" s="3"/>
      <c r="I45" s="3"/>
      <c r="J45" s="3"/>
      <c r="K45" s="3"/>
      <c r="L45" s="3"/>
    </row>
    <row r="46" spans="1:12" x14ac:dyDescent="0.2">
      <c r="A46" s="85">
        <v>38</v>
      </c>
      <c r="B46" s="84"/>
      <c r="C46" s="71" t="s">
        <v>25</v>
      </c>
      <c r="D46" s="178">
        <v>1.2</v>
      </c>
      <c r="E46" s="3"/>
      <c r="I46" s="3"/>
      <c r="J46" s="3"/>
      <c r="K46" s="3"/>
      <c r="L46" s="3"/>
    </row>
    <row r="47" spans="1:12" ht="12.6" customHeight="1" x14ac:dyDescent="0.2">
      <c r="A47" s="85">
        <v>39</v>
      </c>
      <c r="B47" s="97"/>
      <c r="C47" s="75" t="s">
        <v>8</v>
      </c>
      <c r="D47" s="178">
        <v>0.3</v>
      </c>
      <c r="E47" s="3"/>
      <c r="I47" s="3"/>
      <c r="J47" s="3"/>
      <c r="K47" s="3"/>
      <c r="L47" s="3"/>
    </row>
    <row r="48" spans="1:12" x14ac:dyDescent="0.2">
      <c r="A48" s="85">
        <v>40</v>
      </c>
      <c r="B48" s="97"/>
      <c r="C48" s="75" t="s">
        <v>10</v>
      </c>
      <c r="D48" s="178">
        <v>2.2000000000000002</v>
      </c>
      <c r="E48" s="3"/>
      <c r="I48" s="3"/>
      <c r="J48" s="3"/>
      <c r="K48" s="3"/>
      <c r="L48" s="3"/>
    </row>
    <row r="49" spans="1:12" ht="12.6" customHeight="1" x14ac:dyDescent="0.2">
      <c r="A49" s="85">
        <v>41</v>
      </c>
      <c r="B49" s="97"/>
      <c r="C49" s="93" t="s">
        <v>13</v>
      </c>
      <c r="D49" s="178">
        <f>3.2-1.1</f>
        <v>2.1</v>
      </c>
      <c r="E49" s="3"/>
      <c r="I49" s="3"/>
      <c r="J49" s="3"/>
      <c r="K49" s="3"/>
      <c r="L49" s="3"/>
    </row>
    <row r="50" spans="1:12" ht="12.6" customHeight="1" x14ac:dyDescent="0.2">
      <c r="A50" s="85">
        <v>42</v>
      </c>
      <c r="B50" s="97"/>
      <c r="C50" s="179" t="s">
        <v>20</v>
      </c>
      <c r="D50" s="177">
        <f>+D9+D24+D26+D30+D39+D45+D28</f>
        <v>537.6</v>
      </c>
      <c r="E50" s="4"/>
      <c r="I50" s="3"/>
      <c r="J50" s="3"/>
      <c r="K50" s="3"/>
      <c r="L50" s="3"/>
    </row>
    <row r="51" spans="1:12" ht="12.6" customHeight="1" x14ac:dyDescent="0.2">
      <c r="C51" s="2" t="s">
        <v>112</v>
      </c>
      <c r="D51" s="19"/>
      <c r="F51" s="3"/>
      <c r="G51" s="3"/>
      <c r="H51" s="3"/>
      <c r="I51" s="3"/>
      <c r="J51" s="3"/>
      <c r="K51" s="3"/>
      <c r="L51" s="3"/>
    </row>
    <row r="52" spans="1:12" x14ac:dyDescent="0.2">
      <c r="A52" s="265" t="s">
        <v>111</v>
      </c>
      <c r="B52" s="265"/>
      <c r="C52" s="265"/>
      <c r="D52" s="265"/>
    </row>
    <row r="53" spans="1:12" x14ac:dyDescent="0.2">
      <c r="D53" s="19"/>
    </row>
    <row r="54" spans="1:12" x14ac:dyDescent="0.2">
      <c r="D54" s="19"/>
    </row>
    <row r="55" spans="1:12" x14ac:dyDescent="0.2">
      <c r="D55" s="180"/>
    </row>
  </sheetData>
  <mergeCells count="4">
    <mergeCell ref="C1:D1"/>
    <mergeCell ref="C2:D2"/>
    <mergeCell ref="A5:D5"/>
    <mergeCell ref="A52:D52"/>
  </mergeCells>
  <phoneticPr fontId="16" type="noConversion"/>
  <pageMargins left="0.78740157480314965" right="0" top="0.78740157480314965" bottom="0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59"/>
  <sheetViews>
    <sheetView zoomScaleNormal="100" workbookViewId="0">
      <selection activeCell="D3" sqref="D3"/>
    </sheetView>
  </sheetViews>
  <sheetFormatPr defaultColWidth="9.140625" defaultRowHeight="12.75" x14ac:dyDescent="0.2"/>
  <cols>
    <col min="1" max="1" width="5.85546875" style="2" customWidth="1"/>
    <col min="2" max="2" width="7.5703125" style="12" customWidth="1"/>
    <col min="3" max="3" width="70" style="2" customWidth="1"/>
    <col min="4" max="4" width="9.7109375" style="2" customWidth="1"/>
    <col min="5" max="6" width="9.140625" style="1" customWidth="1"/>
    <col min="7" max="16384" width="9.140625" style="1"/>
  </cols>
  <sheetData>
    <row r="1" spans="1:6" ht="15" customHeight="1" x14ac:dyDescent="0.25">
      <c r="C1" s="264" t="s">
        <v>162</v>
      </c>
      <c r="D1" s="264"/>
    </row>
    <row r="2" spans="1:6" ht="15.75" x14ac:dyDescent="0.25">
      <c r="C2" s="264" t="s">
        <v>794</v>
      </c>
      <c r="D2" s="264"/>
    </row>
    <row r="3" spans="1:6" ht="15.75" x14ac:dyDescent="0.2">
      <c r="C3" s="181"/>
      <c r="D3" s="14" t="s">
        <v>148</v>
      </c>
    </row>
    <row r="5" spans="1:6" ht="28.5" customHeight="1" x14ac:dyDescent="0.2">
      <c r="A5" s="266" t="s">
        <v>220</v>
      </c>
      <c r="B5" s="266"/>
      <c r="C5" s="266"/>
      <c r="D5" s="266"/>
    </row>
    <row r="6" spans="1:6" x14ac:dyDescent="0.2">
      <c r="D6" s="81" t="s">
        <v>71</v>
      </c>
    </row>
    <row r="7" spans="1:6" ht="43.5" customHeight="1" x14ac:dyDescent="0.2">
      <c r="A7" s="63" t="s">
        <v>68</v>
      </c>
      <c r="B7" s="82" t="s">
        <v>186</v>
      </c>
      <c r="C7" s="63" t="s">
        <v>16</v>
      </c>
      <c r="D7" s="63" t="s">
        <v>17</v>
      </c>
    </row>
    <row r="8" spans="1:6" s="10" customFormat="1" ht="12" customHeight="1" x14ac:dyDescent="0.2">
      <c r="A8" s="83">
        <v>1</v>
      </c>
      <c r="B8" s="84" t="s">
        <v>18</v>
      </c>
      <c r="C8" s="63">
        <v>3</v>
      </c>
      <c r="D8" s="63">
        <v>4</v>
      </c>
    </row>
    <row r="9" spans="1:6" x14ac:dyDescent="0.2">
      <c r="A9" s="85">
        <v>1</v>
      </c>
      <c r="B9" s="84" t="s">
        <v>47</v>
      </c>
      <c r="C9" s="86" t="s">
        <v>48</v>
      </c>
      <c r="D9" s="177">
        <f>SUM(D10:D31)</f>
        <v>66</v>
      </c>
      <c r="E9" s="3"/>
      <c r="F9" s="3"/>
    </row>
    <row r="10" spans="1:6" ht="12.6" customHeight="1" x14ac:dyDescent="0.2">
      <c r="A10" s="85">
        <v>2</v>
      </c>
      <c r="B10" s="84"/>
      <c r="C10" s="67" t="s">
        <v>88</v>
      </c>
      <c r="D10" s="178">
        <v>1.3</v>
      </c>
      <c r="E10" s="3"/>
      <c r="F10" s="3"/>
    </row>
    <row r="11" spans="1:6" ht="12.6" customHeight="1" x14ac:dyDescent="0.2">
      <c r="A11" s="85">
        <v>3</v>
      </c>
      <c r="B11" s="84"/>
      <c r="C11" s="67" t="s">
        <v>79</v>
      </c>
      <c r="D11" s="178">
        <v>1.4</v>
      </c>
      <c r="E11" s="3"/>
      <c r="F11" s="3"/>
    </row>
    <row r="12" spans="1:6" ht="12.6" customHeight="1" x14ac:dyDescent="0.2">
      <c r="A12" s="85">
        <v>4</v>
      </c>
      <c r="B12" s="83"/>
      <c r="C12" s="67" t="s">
        <v>80</v>
      </c>
      <c r="D12" s="178">
        <f>3.4-1</f>
        <v>2.4</v>
      </c>
      <c r="E12" s="3"/>
      <c r="F12" s="3"/>
    </row>
    <row r="13" spans="1:6" ht="12.6" customHeight="1" x14ac:dyDescent="0.2">
      <c r="A13" s="85">
        <v>5</v>
      </c>
      <c r="B13" s="83"/>
      <c r="C13" s="67" t="s">
        <v>84</v>
      </c>
      <c r="D13" s="178">
        <v>3.7</v>
      </c>
      <c r="E13" s="3"/>
      <c r="F13" s="3"/>
    </row>
    <row r="14" spans="1:6" ht="12.6" customHeight="1" x14ac:dyDescent="0.2">
      <c r="A14" s="85">
        <v>6</v>
      </c>
      <c r="B14" s="83"/>
      <c r="C14" s="67" t="s">
        <v>81</v>
      </c>
      <c r="D14" s="178">
        <v>4</v>
      </c>
      <c r="E14" s="3"/>
      <c r="F14" s="3"/>
    </row>
    <row r="15" spans="1:6" ht="12.6" customHeight="1" x14ac:dyDescent="0.2">
      <c r="A15" s="85">
        <v>7</v>
      </c>
      <c r="B15" s="97"/>
      <c r="C15" s="67" t="s">
        <v>82</v>
      </c>
      <c r="D15" s="178">
        <v>0.8</v>
      </c>
      <c r="E15" s="3"/>
      <c r="F15" s="3"/>
    </row>
    <row r="16" spans="1:6" ht="12.6" customHeight="1" x14ac:dyDescent="0.2">
      <c r="A16" s="85">
        <v>8</v>
      </c>
      <c r="B16" s="97"/>
      <c r="C16" s="67" t="s">
        <v>83</v>
      </c>
      <c r="D16" s="178">
        <v>2.2000000000000002</v>
      </c>
      <c r="E16" s="3"/>
      <c r="F16" s="3"/>
    </row>
    <row r="17" spans="1:6" ht="12.6" customHeight="1" x14ac:dyDescent="0.2">
      <c r="A17" s="85">
        <v>9</v>
      </c>
      <c r="B17" s="97"/>
      <c r="C17" s="70" t="s">
        <v>95</v>
      </c>
      <c r="D17" s="178">
        <v>0.4</v>
      </c>
      <c r="E17" s="3"/>
      <c r="F17" s="3"/>
    </row>
    <row r="18" spans="1:6" ht="12.6" customHeight="1" x14ac:dyDescent="0.2">
      <c r="A18" s="85">
        <v>10</v>
      </c>
      <c r="B18" s="97"/>
      <c r="C18" s="67" t="s">
        <v>87</v>
      </c>
      <c r="D18" s="178">
        <v>16.2</v>
      </c>
      <c r="E18" s="3"/>
      <c r="F18" s="3"/>
    </row>
    <row r="19" spans="1:6" ht="12.6" customHeight="1" x14ac:dyDescent="0.2">
      <c r="A19" s="85">
        <v>11</v>
      </c>
      <c r="B19" s="97"/>
      <c r="C19" s="67" t="s">
        <v>38</v>
      </c>
      <c r="D19" s="178">
        <v>0.2</v>
      </c>
      <c r="E19" s="3"/>
      <c r="F19" s="3"/>
    </row>
    <row r="20" spans="1:6" ht="12.6" customHeight="1" x14ac:dyDescent="0.2">
      <c r="A20" s="85">
        <v>12</v>
      </c>
      <c r="B20" s="97"/>
      <c r="C20" s="71" t="s">
        <v>73</v>
      </c>
      <c r="D20" s="178">
        <f>1.2+0.2</f>
        <v>1.4</v>
      </c>
      <c r="E20" s="3"/>
      <c r="F20" s="3"/>
    </row>
    <row r="21" spans="1:6" ht="12.6" customHeight="1" x14ac:dyDescent="0.2">
      <c r="A21" s="85">
        <v>13</v>
      </c>
      <c r="B21" s="97"/>
      <c r="C21" s="71" t="s">
        <v>74</v>
      </c>
      <c r="D21" s="178">
        <v>0.4</v>
      </c>
      <c r="E21" s="3"/>
      <c r="F21" s="3"/>
    </row>
    <row r="22" spans="1:6" ht="12.6" customHeight="1" x14ac:dyDescent="0.2">
      <c r="A22" s="85">
        <v>14</v>
      </c>
      <c r="B22" s="97"/>
      <c r="C22" s="71" t="s">
        <v>32</v>
      </c>
      <c r="D22" s="178">
        <v>0.3</v>
      </c>
      <c r="E22" s="3"/>
      <c r="F22" s="3"/>
    </row>
    <row r="23" spans="1:6" ht="12.6" customHeight="1" x14ac:dyDescent="0.2">
      <c r="A23" s="85">
        <v>15</v>
      </c>
      <c r="B23" s="97"/>
      <c r="C23" s="67" t="s">
        <v>76</v>
      </c>
      <c r="D23" s="178">
        <v>1.6</v>
      </c>
      <c r="E23" s="3"/>
      <c r="F23" s="3"/>
    </row>
    <row r="24" spans="1:6" ht="12.6" customHeight="1" x14ac:dyDescent="0.2">
      <c r="A24" s="85">
        <v>16</v>
      </c>
      <c r="B24" s="97"/>
      <c r="C24" s="71" t="s">
        <v>85</v>
      </c>
      <c r="D24" s="178">
        <f>10.4-0.9</f>
        <v>9.5</v>
      </c>
      <c r="E24" s="3"/>
      <c r="F24" s="3"/>
    </row>
    <row r="25" spans="1:6" ht="12.6" customHeight="1" x14ac:dyDescent="0.2">
      <c r="A25" s="85">
        <v>17</v>
      </c>
      <c r="B25" s="97"/>
      <c r="C25" s="67" t="s">
        <v>149</v>
      </c>
      <c r="D25" s="178">
        <v>0.7</v>
      </c>
      <c r="E25" s="3"/>
      <c r="F25" s="3"/>
    </row>
    <row r="26" spans="1:6" ht="12.6" customHeight="1" x14ac:dyDescent="0.2">
      <c r="A26" s="85">
        <v>18</v>
      </c>
      <c r="B26" s="97"/>
      <c r="C26" s="71" t="s">
        <v>539</v>
      </c>
      <c r="D26" s="178">
        <v>7.6</v>
      </c>
      <c r="E26" s="3"/>
      <c r="F26" s="3"/>
    </row>
    <row r="27" spans="1:6" ht="12.6" customHeight="1" x14ac:dyDescent="0.2">
      <c r="A27" s="85">
        <v>19</v>
      </c>
      <c r="B27" s="97"/>
      <c r="C27" s="71" t="s">
        <v>33</v>
      </c>
      <c r="D27" s="178">
        <f>0.3-0.1</f>
        <v>0.19999999999999998</v>
      </c>
      <c r="E27" s="3"/>
      <c r="F27" s="3"/>
    </row>
    <row r="28" spans="1:6" ht="12.6" customHeight="1" x14ac:dyDescent="0.2">
      <c r="A28" s="85">
        <v>20</v>
      </c>
      <c r="B28" s="97"/>
      <c r="C28" s="71" t="s">
        <v>75</v>
      </c>
      <c r="D28" s="178">
        <v>3</v>
      </c>
      <c r="E28" s="3"/>
      <c r="F28" s="3"/>
    </row>
    <row r="29" spans="1:6" ht="12.6" customHeight="1" x14ac:dyDescent="0.2">
      <c r="A29" s="85">
        <v>21</v>
      </c>
      <c r="B29" s="97"/>
      <c r="C29" s="70" t="s">
        <v>34</v>
      </c>
      <c r="D29" s="178">
        <v>0.1</v>
      </c>
      <c r="E29" s="3"/>
      <c r="F29" s="3"/>
    </row>
    <row r="30" spans="1:6" ht="12.6" customHeight="1" x14ac:dyDescent="0.2">
      <c r="A30" s="85">
        <v>22</v>
      </c>
      <c r="B30" s="97"/>
      <c r="C30" s="67" t="s">
        <v>40</v>
      </c>
      <c r="D30" s="178">
        <v>7.8</v>
      </c>
      <c r="E30" s="3"/>
      <c r="F30" s="3"/>
    </row>
    <row r="31" spans="1:6" ht="12.6" customHeight="1" x14ac:dyDescent="0.2">
      <c r="A31" s="85">
        <v>23</v>
      </c>
      <c r="B31" s="97"/>
      <c r="C31" s="76" t="s">
        <v>107</v>
      </c>
      <c r="D31" s="178">
        <v>0.8</v>
      </c>
      <c r="E31" s="3"/>
      <c r="F31" s="3"/>
    </row>
    <row r="32" spans="1:6" ht="12.6" customHeight="1" x14ac:dyDescent="0.2">
      <c r="A32" s="85">
        <v>24</v>
      </c>
      <c r="B32" s="84" t="s">
        <v>51</v>
      </c>
      <c r="C32" s="98" t="s">
        <v>97</v>
      </c>
      <c r="D32" s="177">
        <f>+D33</f>
        <v>117.6</v>
      </c>
      <c r="E32" s="3"/>
      <c r="F32" s="3"/>
    </row>
    <row r="33" spans="1:6" ht="12.6" customHeight="1" x14ac:dyDescent="0.2">
      <c r="A33" s="85">
        <v>25</v>
      </c>
      <c r="B33" s="97"/>
      <c r="C33" s="67" t="s">
        <v>65</v>
      </c>
      <c r="D33" s="178">
        <f>70.6+35+12</f>
        <v>117.6</v>
      </c>
      <c r="E33" s="3"/>
      <c r="F33" s="3"/>
    </row>
    <row r="34" spans="1:6" ht="12.6" customHeight="1" x14ac:dyDescent="0.2">
      <c r="A34" s="85">
        <v>26</v>
      </c>
      <c r="B34" s="84" t="s">
        <v>52</v>
      </c>
      <c r="C34" s="98" t="s">
        <v>53</v>
      </c>
      <c r="D34" s="177">
        <f>SUM(D35:D42)</f>
        <v>21.3</v>
      </c>
      <c r="E34" s="3"/>
      <c r="F34" s="3"/>
    </row>
    <row r="35" spans="1:6" ht="15" customHeight="1" x14ac:dyDescent="0.2">
      <c r="A35" s="85">
        <v>27</v>
      </c>
      <c r="B35" s="97"/>
      <c r="C35" s="76" t="s">
        <v>36</v>
      </c>
      <c r="D35" s="178">
        <v>4</v>
      </c>
      <c r="E35" s="3"/>
      <c r="F35" s="3"/>
    </row>
    <row r="36" spans="1:6" ht="12.6" customHeight="1" x14ac:dyDescent="0.2">
      <c r="A36" s="85">
        <v>28</v>
      </c>
      <c r="B36" s="97"/>
      <c r="C36" s="101" t="s">
        <v>41</v>
      </c>
      <c r="D36" s="178">
        <v>2.4</v>
      </c>
      <c r="E36" s="3"/>
      <c r="F36" s="3"/>
    </row>
    <row r="37" spans="1:6" ht="12.6" customHeight="1" x14ac:dyDescent="0.2">
      <c r="A37" s="85">
        <v>29</v>
      </c>
      <c r="B37" s="97"/>
      <c r="C37" s="76" t="s">
        <v>42</v>
      </c>
      <c r="D37" s="178">
        <v>1.5</v>
      </c>
      <c r="E37" s="3"/>
      <c r="F37" s="3"/>
    </row>
    <row r="38" spans="1:6" ht="12.6" customHeight="1" x14ac:dyDescent="0.2">
      <c r="A38" s="85">
        <v>30</v>
      </c>
      <c r="B38" s="97"/>
      <c r="C38" s="76" t="s">
        <v>37</v>
      </c>
      <c r="D38" s="178">
        <v>1</v>
      </c>
      <c r="E38" s="3"/>
      <c r="F38" s="3"/>
    </row>
    <row r="39" spans="1:6" ht="12.6" customHeight="1" x14ac:dyDescent="0.2">
      <c r="A39" s="85">
        <v>31</v>
      </c>
      <c r="B39" s="97"/>
      <c r="C39" s="76" t="s">
        <v>43</v>
      </c>
      <c r="D39" s="178">
        <v>0.1</v>
      </c>
      <c r="E39" s="3"/>
      <c r="F39" s="3"/>
    </row>
    <row r="40" spans="1:6" ht="12.6" customHeight="1" x14ac:dyDescent="0.2">
      <c r="A40" s="85">
        <v>32</v>
      </c>
      <c r="B40" s="97"/>
      <c r="C40" s="76" t="s">
        <v>44</v>
      </c>
      <c r="D40" s="178">
        <v>0.4</v>
      </c>
      <c r="E40" s="3"/>
      <c r="F40" s="3"/>
    </row>
    <row r="41" spans="1:6" ht="12.6" customHeight="1" x14ac:dyDescent="0.2">
      <c r="A41" s="85">
        <v>33</v>
      </c>
      <c r="B41" s="97"/>
      <c r="C41" s="71" t="s">
        <v>45</v>
      </c>
      <c r="D41" s="178">
        <f>8.7+2.4</f>
        <v>11.1</v>
      </c>
      <c r="E41" s="3"/>
      <c r="F41" s="3"/>
    </row>
    <row r="42" spans="1:6" x14ac:dyDescent="0.2">
      <c r="A42" s="85">
        <v>34</v>
      </c>
      <c r="B42" s="97"/>
      <c r="C42" s="76" t="s">
        <v>35</v>
      </c>
      <c r="D42" s="178">
        <v>0.8</v>
      </c>
      <c r="E42" s="3"/>
      <c r="F42" s="3"/>
    </row>
    <row r="43" spans="1:6" ht="12.6" customHeight="1" x14ac:dyDescent="0.2">
      <c r="A43" s="85">
        <v>35</v>
      </c>
      <c r="B43" s="84" t="s">
        <v>23</v>
      </c>
      <c r="C43" s="98" t="s">
        <v>24</v>
      </c>
      <c r="D43" s="177">
        <f>SUM(D44:D55)</f>
        <v>78.199999999999974</v>
      </c>
      <c r="E43" s="3"/>
      <c r="F43" s="3"/>
    </row>
    <row r="44" spans="1:6" ht="15" customHeight="1" x14ac:dyDescent="0.2">
      <c r="A44" s="85">
        <v>36</v>
      </c>
      <c r="B44" s="97"/>
      <c r="C44" s="93" t="s">
        <v>3</v>
      </c>
      <c r="D44" s="178">
        <f>11.5+4.2</f>
        <v>15.7</v>
      </c>
      <c r="E44" s="3"/>
      <c r="F44" s="3"/>
    </row>
    <row r="45" spans="1:6" ht="12.6" customHeight="1" x14ac:dyDescent="0.2">
      <c r="A45" s="85">
        <v>37</v>
      </c>
      <c r="B45" s="97"/>
      <c r="C45" s="75" t="s">
        <v>8</v>
      </c>
      <c r="D45" s="178">
        <v>19.600000000000001</v>
      </c>
      <c r="E45" s="3"/>
      <c r="F45" s="3"/>
    </row>
    <row r="46" spans="1:6" ht="12.6" customHeight="1" x14ac:dyDescent="0.2">
      <c r="A46" s="85">
        <v>38</v>
      </c>
      <c r="B46" s="97"/>
      <c r="C46" s="70" t="s">
        <v>4</v>
      </c>
      <c r="D46" s="178">
        <v>3.5</v>
      </c>
      <c r="E46" s="3"/>
      <c r="F46" s="3"/>
    </row>
    <row r="47" spans="1:6" ht="12.6" customHeight="1" x14ac:dyDescent="0.2">
      <c r="A47" s="85">
        <v>39</v>
      </c>
      <c r="B47" s="97"/>
      <c r="C47" s="70" t="s">
        <v>5</v>
      </c>
      <c r="D47" s="178">
        <v>4.4000000000000004</v>
      </c>
      <c r="E47" s="3"/>
      <c r="F47" s="3"/>
    </row>
    <row r="48" spans="1:6" ht="12.6" customHeight="1" x14ac:dyDescent="0.2">
      <c r="A48" s="85">
        <v>40</v>
      </c>
      <c r="B48" s="97"/>
      <c r="C48" s="70" t="s">
        <v>7</v>
      </c>
      <c r="D48" s="178">
        <v>15.3</v>
      </c>
      <c r="E48" s="3"/>
      <c r="F48" s="3"/>
    </row>
    <row r="49" spans="1:7" ht="12.6" customHeight="1" x14ac:dyDescent="0.2">
      <c r="A49" s="85">
        <v>41</v>
      </c>
      <c r="B49" s="182"/>
      <c r="C49" s="183" t="s">
        <v>6</v>
      </c>
      <c r="D49" s="184">
        <v>1</v>
      </c>
      <c r="E49" s="3"/>
      <c r="F49" s="3"/>
    </row>
    <row r="50" spans="1:7" ht="12.6" customHeight="1" x14ac:dyDescent="0.2">
      <c r="A50" s="85">
        <v>42</v>
      </c>
      <c r="B50" s="97"/>
      <c r="C50" s="70" t="s">
        <v>9</v>
      </c>
      <c r="D50" s="178">
        <v>5.2</v>
      </c>
      <c r="E50" s="3"/>
      <c r="F50" s="3"/>
    </row>
    <row r="51" spans="1:7" ht="12.6" customHeight="1" x14ac:dyDescent="0.2">
      <c r="A51" s="85">
        <v>43</v>
      </c>
      <c r="B51" s="97"/>
      <c r="C51" s="93" t="s">
        <v>10</v>
      </c>
      <c r="D51" s="178">
        <v>4.5999999999999996</v>
      </c>
      <c r="E51" s="3"/>
      <c r="F51" s="3"/>
    </row>
    <row r="52" spans="1:7" ht="12.6" customHeight="1" x14ac:dyDescent="0.2">
      <c r="A52" s="85">
        <v>44</v>
      </c>
      <c r="B52" s="97"/>
      <c r="C52" s="70" t="s">
        <v>12</v>
      </c>
      <c r="D52" s="178">
        <v>2.1</v>
      </c>
      <c r="E52" s="3"/>
      <c r="F52" s="3"/>
    </row>
    <row r="53" spans="1:7" ht="12.6" customHeight="1" x14ac:dyDescent="0.2">
      <c r="A53" s="85">
        <v>45</v>
      </c>
      <c r="B53" s="97"/>
      <c r="C53" s="70" t="s">
        <v>11</v>
      </c>
      <c r="D53" s="178">
        <v>1.6</v>
      </c>
      <c r="E53" s="3"/>
      <c r="F53" s="3"/>
    </row>
    <row r="54" spans="1:7" ht="12.6" customHeight="1" x14ac:dyDescent="0.2">
      <c r="A54" s="85">
        <v>46</v>
      </c>
      <c r="B54" s="97"/>
      <c r="C54" s="93" t="s">
        <v>13</v>
      </c>
      <c r="D54" s="178">
        <f>3.1-1</f>
        <v>2.1</v>
      </c>
      <c r="E54" s="3"/>
      <c r="F54" s="3"/>
    </row>
    <row r="55" spans="1:7" ht="12.6" customHeight="1" x14ac:dyDescent="0.2">
      <c r="A55" s="85">
        <v>47</v>
      </c>
      <c r="B55" s="97"/>
      <c r="C55" s="70" t="s">
        <v>14</v>
      </c>
      <c r="D55" s="178">
        <v>3.1</v>
      </c>
      <c r="E55" s="3"/>
      <c r="F55" s="3"/>
    </row>
    <row r="56" spans="1:7" ht="12.6" customHeight="1" x14ac:dyDescent="0.2">
      <c r="A56" s="85">
        <v>48</v>
      </c>
      <c r="B56" s="97"/>
      <c r="C56" s="179" t="s">
        <v>20</v>
      </c>
      <c r="D56" s="177">
        <f>+D9+D34+D43+D32</f>
        <v>283.09999999999997</v>
      </c>
      <c r="E56" s="4"/>
      <c r="F56" s="3"/>
    </row>
    <row r="57" spans="1:7" ht="12.6" customHeight="1" x14ac:dyDescent="0.2">
      <c r="C57" s="2" t="s">
        <v>150</v>
      </c>
      <c r="D57" s="17"/>
      <c r="E57" s="3"/>
      <c r="F57" s="3"/>
      <c r="G57" s="3"/>
    </row>
    <row r="58" spans="1:7" x14ac:dyDescent="0.2">
      <c r="D58" s="17"/>
    </row>
    <row r="59" spans="1:7" x14ac:dyDescent="0.2">
      <c r="D59" s="20"/>
    </row>
  </sheetData>
  <mergeCells count="3">
    <mergeCell ref="C1:D1"/>
    <mergeCell ref="C2:D2"/>
    <mergeCell ref="A5:D5"/>
  </mergeCells>
  <phoneticPr fontId="5" type="noConversion"/>
  <pageMargins left="0.78740157480314965" right="0" top="0.70866141732283472" bottom="0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50"/>
  <sheetViews>
    <sheetView zoomScaleNormal="100" workbookViewId="0">
      <selection activeCell="D3" sqref="D3"/>
    </sheetView>
  </sheetViews>
  <sheetFormatPr defaultColWidth="9.140625" defaultRowHeight="12.75" x14ac:dyDescent="0.2"/>
  <cols>
    <col min="1" max="1" width="5.85546875" style="2" customWidth="1"/>
    <col min="2" max="2" width="7.42578125" style="12" customWidth="1"/>
    <col min="3" max="3" width="70" style="2" customWidth="1"/>
    <col min="4" max="4" width="9.7109375" style="11" customWidth="1"/>
    <col min="5" max="8" width="9.140625" style="1" customWidth="1"/>
    <col min="9" max="16384" width="9.140625" style="1"/>
  </cols>
  <sheetData>
    <row r="1" spans="1:12" ht="15.75" x14ac:dyDescent="0.25">
      <c r="C1" s="264" t="s">
        <v>187</v>
      </c>
      <c r="D1" s="264"/>
    </row>
    <row r="2" spans="1:12" ht="15.75" x14ac:dyDescent="0.25">
      <c r="C2" s="264" t="s">
        <v>794</v>
      </c>
      <c r="D2" s="264"/>
    </row>
    <row r="3" spans="1:12" ht="15.75" x14ac:dyDescent="0.2">
      <c r="D3" s="14" t="s">
        <v>113</v>
      </c>
    </row>
    <row r="4" spans="1:12" ht="15.75" x14ac:dyDescent="0.2">
      <c r="D4" s="14"/>
    </row>
    <row r="5" spans="1:12" ht="28.5" customHeight="1" x14ac:dyDescent="0.2">
      <c r="B5" s="266" t="s">
        <v>221</v>
      </c>
      <c r="C5" s="266"/>
      <c r="D5" s="266"/>
    </row>
    <row r="7" spans="1:12" x14ac:dyDescent="0.2">
      <c r="D7" s="81" t="s">
        <v>71</v>
      </c>
    </row>
    <row r="8" spans="1:12" ht="43.5" customHeight="1" x14ac:dyDescent="0.2">
      <c r="A8" s="63" t="s">
        <v>68</v>
      </c>
      <c r="B8" s="82" t="s">
        <v>186</v>
      </c>
      <c r="C8" s="63" t="s">
        <v>16</v>
      </c>
      <c r="D8" s="63" t="s">
        <v>17</v>
      </c>
    </row>
    <row r="9" spans="1:12" x14ac:dyDescent="0.2">
      <c r="A9" s="83">
        <v>1</v>
      </c>
      <c r="B9" s="84" t="s">
        <v>18</v>
      </c>
      <c r="C9" s="63">
        <v>3</v>
      </c>
      <c r="D9" s="63">
        <v>4</v>
      </c>
    </row>
    <row r="10" spans="1:12" x14ac:dyDescent="0.2">
      <c r="A10" s="85">
        <v>1</v>
      </c>
      <c r="B10" s="84" t="s">
        <v>47</v>
      </c>
      <c r="C10" s="185" t="s">
        <v>48</v>
      </c>
      <c r="D10" s="79">
        <f>SUM(D11:D36)</f>
        <v>1158.1999999999998</v>
      </c>
      <c r="E10" s="3"/>
      <c r="F10" s="3"/>
      <c r="G10" s="3"/>
      <c r="I10" s="3"/>
      <c r="J10" s="3"/>
      <c r="K10" s="3"/>
      <c r="L10" s="3"/>
    </row>
    <row r="11" spans="1:12" ht="12.6" customHeight="1" x14ac:dyDescent="0.2">
      <c r="A11" s="85">
        <v>2</v>
      </c>
      <c r="B11" s="97"/>
      <c r="C11" s="67" t="s">
        <v>88</v>
      </c>
      <c r="D11" s="89">
        <f>63+1.7</f>
        <v>64.7</v>
      </c>
      <c r="E11" s="3"/>
      <c r="F11" s="3"/>
      <c r="G11" s="3"/>
      <c r="I11" s="3"/>
      <c r="J11" s="3"/>
      <c r="K11" s="3"/>
      <c r="L11" s="3"/>
    </row>
    <row r="12" spans="1:12" ht="12.6" customHeight="1" x14ac:dyDescent="0.2">
      <c r="A12" s="85">
        <v>3</v>
      </c>
      <c r="B12" s="97"/>
      <c r="C12" s="67" t="s">
        <v>79</v>
      </c>
      <c r="D12" s="89">
        <v>68.3</v>
      </c>
      <c r="E12" s="3"/>
      <c r="F12" s="3"/>
      <c r="G12" s="3"/>
      <c r="I12" s="3"/>
      <c r="J12" s="3"/>
      <c r="K12" s="3"/>
      <c r="L12" s="3"/>
    </row>
    <row r="13" spans="1:12" ht="12.6" customHeight="1" x14ac:dyDescent="0.2">
      <c r="A13" s="85">
        <v>4</v>
      </c>
      <c r="B13" s="97"/>
      <c r="C13" s="67" t="s">
        <v>80</v>
      </c>
      <c r="D13" s="89">
        <f>94-20</f>
        <v>74</v>
      </c>
      <c r="E13" s="3"/>
      <c r="F13" s="3"/>
      <c r="G13" s="3"/>
      <c r="I13" s="3"/>
      <c r="J13" s="3"/>
      <c r="K13" s="3"/>
      <c r="L13" s="3"/>
    </row>
    <row r="14" spans="1:12" ht="12.6" customHeight="1" x14ac:dyDescent="0.2">
      <c r="A14" s="85">
        <v>5</v>
      </c>
      <c r="B14" s="97"/>
      <c r="C14" s="67" t="s">
        <v>84</v>
      </c>
      <c r="D14" s="89">
        <v>87.6</v>
      </c>
      <c r="E14" s="3"/>
      <c r="F14" s="3"/>
      <c r="G14" s="3"/>
      <c r="I14" s="3"/>
      <c r="J14" s="3"/>
      <c r="K14" s="3"/>
      <c r="L14" s="3"/>
    </row>
    <row r="15" spans="1:12" ht="12.6" customHeight="1" x14ac:dyDescent="0.2">
      <c r="A15" s="85">
        <v>6</v>
      </c>
      <c r="B15" s="97"/>
      <c r="C15" s="67" t="s">
        <v>81</v>
      </c>
      <c r="D15" s="89">
        <f>96.9-17</f>
        <v>79.900000000000006</v>
      </c>
      <c r="E15" s="3"/>
      <c r="F15" s="3"/>
      <c r="G15" s="3"/>
      <c r="I15" s="3"/>
      <c r="J15" s="3"/>
      <c r="K15" s="3"/>
      <c r="L15" s="3"/>
    </row>
    <row r="16" spans="1:12" ht="12.6" customHeight="1" x14ac:dyDescent="0.2">
      <c r="A16" s="85">
        <v>7</v>
      </c>
      <c r="B16" s="97"/>
      <c r="C16" s="67" t="s">
        <v>82</v>
      </c>
      <c r="D16" s="89">
        <f>54.5-12</f>
        <v>42.5</v>
      </c>
      <c r="E16" s="3"/>
      <c r="F16" s="3"/>
      <c r="G16" s="3"/>
      <c r="I16" s="3"/>
      <c r="J16" s="3"/>
      <c r="K16" s="3"/>
      <c r="L16" s="3"/>
    </row>
    <row r="17" spans="1:12" ht="12.6" customHeight="1" x14ac:dyDescent="0.2">
      <c r="A17" s="85">
        <v>8</v>
      </c>
      <c r="B17" s="97"/>
      <c r="C17" s="67" t="s">
        <v>83</v>
      </c>
      <c r="D17" s="89">
        <f>87.1-8</f>
        <v>79.099999999999994</v>
      </c>
      <c r="E17" s="3"/>
      <c r="F17" s="3"/>
      <c r="G17" s="3"/>
      <c r="I17" s="3"/>
      <c r="J17" s="3"/>
      <c r="K17" s="3"/>
      <c r="L17" s="3"/>
    </row>
    <row r="18" spans="1:12" ht="12.6" customHeight="1" x14ac:dyDescent="0.2">
      <c r="A18" s="85">
        <v>9</v>
      </c>
      <c r="B18" s="97"/>
      <c r="C18" s="70" t="s">
        <v>95</v>
      </c>
      <c r="D18" s="89">
        <v>77.3</v>
      </c>
      <c r="E18" s="3"/>
      <c r="F18" s="3"/>
      <c r="G18" s="3"/>
      <c r="I18" s="3"/>
      <c r="J18" s="3"/>
      <c r="K18" s="3"/>
      <c r="L18" s="3"/>
    </row>
    <row r="19" spans="1:12" ht="12.6" customHeight="1" x14ac:dyDescent="0.2">
      <c r="A19" s="85">
        <v>10</v>
      </c>
      <c r="B19" s="97"/>
      <c r="C19" s="67" t="s">
        <v>38</v>
      </c>
      <c r="D19" s="89">
        <v>20.8</v>
      </c>
      <c r="E19" s="3"/>
      <c r="F19" s="3"/>
      <c r="G19" s="3"/>
      <c r="I19" s="3"/>
      <c r="J19" s="3"/>
      <c r="K19" s="3"/>
      <c r="L19" s="3"/>
    </row>
    <row r="20" spans="1:12" ht="12.6" customHeight="1" x14ac:dyDescent="0.2">
      <c r="A20" s="85">
        <v>11</v>
      </c>
      <c r="B20" s="97"/>
      <c r="C20" s="71" t="s">
        <v>73</v>
      </c>
      <c r="D20" s="44">
        <f>31-3</f>
        <v>28</v>
      </c>
      <c r="E20" s="3"/>
      <c r="F20" s="3"/>
      <c r="G20" s="3"/>
      <c r="I20" s="3"/>
      <c r="J20" s="3"/>
      <c r="K20" s="3"/>
      <c r="L20" s="3"/>
    </row>
    <row r="21" spans="1:12" ht="12.6" customHeight="1" x14ac:dyDescent="0.2">
      <c r="A21" s="85">
        <v>12</v>
      </c>
      <c r="B21" s="97"/>
      <c r="C21" s="71" t="s">
        <v>74</v>
      </c>
      <c r="D21" s="44">
        <v>3.5</v>
      </c>
      <c r="E21" s="3"/>
      <c r="F21" s="3"/>
      <c r="G21" s="3"/>
      <c r="I21" s="3"/>
      <c r="J21" s="3"/>
      <c r="K21" s="3"/>
      <c r="L21" s="3"/>
    </row>
    <row r="22" spans="1:12" ht="12.6" customHeight="1" x14ac:dyDescent="0.2">
      <c r="A22" s="85">
        <v>13</v>
      </c>
      <c r="B22" s="97"/>
      <c r="C22" s="71" t="s">
        <v>32</v>
      </c>
      <c r="D22" s="44">
        <f>19.5-2</f>
        <v>17.5</v>
      </c>
      <c r="E22" s="3"/>
      <c r="F22" s="3"/>
      <c r="G22" s="3"/>
      <c r="I22" s="3"/>
      <c r="J22" s="3"/>
      <c r="K22" s="3"/>
      <c r="L22" s="3"/>
    </row>
    <row r="23" spans="1:12" ht="12.6" customHeight="1" x14ac:dyDescent="0.2">
      <c r="A23" s="85">
        <v>14</v>
      </c>
      <c r="B23" s="97"/>
      <c r="C23" s="67" t="s">
        <v>76</v>
      </c>
      <c r="D23" s="89">
        <f>7.4+11</f>
        <v>18.399999999999999</v>
      </c>
      <c r="E23" s="3"/>
      <c r="F23" s="3"/>
      <c r="G23" s="3"/>
      <c r="I23" s="3"/>
      <c r="J23" s="3"/>
      <c r="K23" s="3"/>
      <c r="L23" s="3"/>
    </row>
    <row r="24" spans="1:12" ht="12.6" customHeight="1" x14ac:dyDescent="0.2">
      <c r="A24" s="85">
        <v>15</v>
      </c>
      <c r="B24" s="97"/>
      <c r="C24" s="71" t="s">
        <v>85</v>
      </c>
      <c r="D24" s="89">
        <f>6.3-2</f>
        <v>4.3</v>
      </c>
      <c r="E24" s="3"/>
      <c r="F24" s="3"/>
      <c r="G24" s="3"/>
      <c r="I24" s="3"/>
      <c r="J24" s="3"/>
      <c r="K24" s="3"/>
      <c r="L24" s="3"/>
    </row>
    <row r="25" spans="1:12" ht="12.6" customHeight="1" x14ac:dyDescent="0.2">
      <c r="A25" s="85">
        <v>16</v>
      </c>
      <c r="B25" s="97"/>
      <c r="C25" s="67" t="s">
        <v>86</v>
      </c>
      <c r="D25" s="89">
        <f>3.4-1</f>
        <v>2.4</v>
      </c>
      <c r="E25" s="3"/>
      <c r="F25" s="3"/>
      <c r="G25" s="3"/>
      <c r="I25" s="3"/>
      <c r="J25" s="3"/>
      <c r="K25" s="3"/>
      <c r="L25" s="3"/>
    </row>
    <row r="26" spans="1:12" ht="12.6" customHeight="1" x14ac:dyDescent="0.2">
      <c r="A26" s="85">
        <v>17</v>
      </c>
      <c r="B26" s="97"/>
      <c r="C26" s="71" t="s">
        <v>539</v>
      </c>
      <c r="D26" s="89">
        <v>11</v>
      </c>
      <c r="E26" s="3"/>
      <c r="F26" s="3"/>
      <c r="G26" s="3"/>
      <c r="I26" s="3"/>
      <c r="J26" s="3"/>
      <c r="K26" s="3"/>
      <c r="L26" s="3"/>
    </row>
    <row r="27" spans="1:12" ht="12.6" customHeight="1" x14ac:dyDescent="0.2">
      <c r="A27" s="85">
        <v>18</v>
      </c>
      <c r="B27" s="97"/>
      <c r="C27" s="71" t="s">
        <v>33</v>
      </c>
      <c r="D27" s="89">
        <f>0.7-0.1</f>
        <v>0.6</v>
      </c>
      <c r="E27" s="3"/>
      <c r="F27" s="3"/>
      <c r="G27" s="3"/>
      <c r="I27" s="3"/>
      <c r="J27" s="3"/>
      <c r="K27" s="3"/>
      <c r="L27" s="3"/>
    </row>
    <row r="28" spans="1:12" ht="12.6" customHeight="1" x14ac:dyDescent="0.2">
      <c r="A28" s="85">
        <v>19</v>
      </c>
      <c r="B28" s="97"/>
      <c r="C28" s="186" t="s">
        <v>75</v>
      </c>
      <c r="D28" s="44">
        <v>59.7</v>
      </c>
      <c r="E28" s="3"/>
      <c r="F28" s="3"/>
      <c r="G28" s="3"/>
      <c r="I28" s="3"/>
      <c r="J28" s="3"/>
      <c r="K28" s="3"/>
      <c r="L28" s="3"/>
    </row>
    <row r="29" spans="1:12" ht="12.6" customHeight="1" x14ac:dyDescent="0.2">
      <c r="A29" s="85">
        <v>20</v>
      </c>
      <c r="B29" s="97"/>
      <c r="C29" s="70" t="s">
        <v>34</v>
      </c>
      <c r="D29" s="44">
        <v>4.0999999999999996</v>
      </c>
      <c r="E29" s="3"/>
      <c r="F29" s="3"/>
      <c r="G29" s="3"/>
      <c r="I29" s="3"/>
      <c r="J29" s="3"/>
      <c r="K29" s="3"/>
      <c r="L29" s="3"/>
    </row>
    <row r="30" spans="1:12" ht="12.6" customHeight="1" x14ac:dyDescent="0.2">
      <c r="A30" s="85">
        <v>21</v>
      </c>
      <c r="B30" s="97"/>
      <c r="C30" s="71" t="s">
        <v>64</v>
      </c>
      <c r="D30" s="44">
        <v>43.6</v>
      </c>
      <c r="E30" s="3"/>
      <c r="F30" s="3"/>
      <c r="G30" s="3"/>
      <c r="I30" s="3"/>
      <c r="J30" s="3"/>
      <c r="K30" s="3"/>
      <c r="L30" s="3"/>
    </row>
    <row r="31" spans="1:12" ht="12.6" customHeight="1" x14ac:dyDescent="0.2">
      <c r="A31" s="85">
        <v>22</v>
      </c>
      <c r="B31" s="97"/>
      <c r="C31" s="67" t="s">
        <v>185</v>
      </c>
      <c r="D31" s="44">
        <f>11-1</f>
        <v>10</v>
      </c>
      <c r="E31" s="3"/>
      <c r="F31" s="3"/>
      <c r="G31" s="3"/>
      <c r="I31" s="3"/>
      <c r="J31" s="3"/>
      <c r="K31" s="3"/>
      <c r="L31" s="3"/>
    </row>
    <row r="32" spans="1:12" ht="12.6" customHeight="1" x14ac:dyDescent="0.2">
      <c r="A32" s="85">
        <v>23</v>
      </c>
      <c r="B32" s="97"/>
      <c r="C32" s="187" t="s">
        <v>46</v>
      </c>
      <c r="D32" s="44">
        <v>128.9</v>
      </c>
      <c r="E32" s="3"/>
      <c r="F32" s="3"/>
      <c r="G32" s="3"/>
      <c r="I32" s="3"/>
      <c r="J32" s="3"/>
      <c r="K32" s="3"/>
      <c r="L32" s="3"/>
    </row>
    <row r="33" spans="1:12" ht="12.6" customHeight="1" x14ac:dyDescent="0.2">
      <c r="A33" s="85">
        <v>24</v>
      </c>
      <c r="B33" s="97"/>
      <c r="C33" s="187" t="s">
        <v>39</v>
      </c>
      <c r="D33" s="44">
        <v>106.2</v>
      </c>
      <c r="E33" s="3"/>
      <c r="F33" s="3"/>
      <c r="G33" s="3"/>
      <c r="I33" s="3"/>
      <c r="J33" s="3"/>
      <c r="K33" s="3"/>
      <c r="L33" s="3"/>
    </row>
    <row r="34" spans="1:12" ht="12.6" customHeight="1" x14ac:dyDescent="0.2">
      <c r="A34" s="85">
        <v>25</v>
      </c>
      <c r="B34" s="97"/>
      <c r="C34" s="187" t="s">
        <v>40</v>
      </c>
      <c r="D34" s="44">
        <v>93.1</v>
      </c>
      <c r="E34" s="3"/>
      <c r="F34" s="3"/>
      <c r="G34" s="3"/>
      <c r="I34" s="3"/>
      <c r="J34" s="3"/>
      <c r="K34" s="3"/>
      <c r="L34" s="3"/>
    </row>
    <row r="35" spans="1:12" ht="12.6" customHeight="1" x14ac:dyDescent="0.2">
      <c r="A35" s="85">
        <v>26</v>
      </c>
      <c r="B35" s="97"/>
      <c r="C35" s="187" t="s">
        <v>15</v>
      </c>
      <c r="D35" s="44">
        <v>20.7</v>
      </c>
      <c r="E35" s="3"/>
      <c r="F35" s="3"/>
      <c r="G35" s="3"/>
      <c r="I35" s="3"/>
      <c r="J35" s="3"/>
      <c r="K35" s="3"/>
      <c r="L35" s="3"/>
    </row>
    <row r="36" spans="1:12" ht="12.6" customHeight="1" x14ac:dyDescent="0.2">
      <c r="A36" s="85">
        <v>27</v>
      </c>
      <c r="B36" s="97"/>
      <c r="C36" s="187" t="s">
        <v>108</v>
      </c>
      <c r="D36" s="44">
        <v>12</v>
      </c>
      <c r="E36" s="3"/>
      <c r="F36" s="3"/>
      <c r="G36" s="3"/>
      <c r="I36" s="3"/>
      <c r="J36" s="3"/>
      <c r="K36" s="3"/>
      <c r="L36" s="3"/>
    </row>
    <row r="37" spans="1:12" x14ac:dyDescent="0.2">
      <c r="A37" s="85">
        <v>28</v>
      </c>
      <c r="B37" s="84" t="s">
        <v>21</v>
      </c>
      <c r="C37" s="188" t="s">
        <v>22</v>
      </c>
      <c r="D37" s="79">
        <f>SUM(D38:D41)</f>
        <v>1211.7</v>
      </c>
      <c r="E37" s="3"/>
      <c r="F37" s="3"/>
      <c r="G37" s="3"/>
      <c r="I37" s="3"/>
      <c r="J37" s="3"/>
      <c r="K37" s="3"/>
      <c r="L37" s="3"/>
    </row>
    <row r="38" spans="1:12" ht="12.6" customHeight="1" x14ac:dyDescent="0.2">
      <c r="A38" s="85">
        <v>29</v>
      </c>
      <c r="B38" s="97"/>
      <c r="C38" s="187" t="s">
        <v>2</v>
      </c>
      <c r="D38" s="89">
        <f>437.1+40</f>
        <v>477.1</v>
      </c>
      <c r="E38" s="3"/>
      <c r="F38" s="3"/>
      <c r="G38" s="3"/>
      <c r="I38" s="3"/>
      <c r="J38" s="3"/>
      <c r="K38" s="3"/>
      <c r="L38" s="3"/>
    </row>
    <row r="39" spans="1:12" ht="12.6" customHeight="1" x14ac:dyDescent="0.2">
      <c r="A39" s="85">
        <v>30</v>
      </c>
      <c r="B39" s="97"/>
      <c r="C39" s="187" t="s">
        <v>15</v>
      </c>
      <c r="D39" s="89">
        <f>331.3+10</f>
        <v>341.3</v>
      </c>
      <c r="E39" s="3"/>
      <c r="F39" s="3"/>
      <c r="G39" s="3"/>
      <c r="I39" s="3"/>
      <c r="J39" s="3"/>
      <c r="K39" s="3"/>
      <c r="L39" s="3" t="s">
        <v>154</v>
      </c>
    </row>
    <row r="40" spans="1:12" ht="12.6" customHeight="1" x14ac:dyDescent="0.2">
      <c r="A40" s="85">
        <v>31</v>
      </c>
      <c r="B40" s="97"/>
      <c r="C40" s="187" t="s">
        <v>108</v>
      </c>
      <c r="D40" s="89">
        <f>320+30+30</f>
        <v>380</v>
      </c>
      <c r="E40" s="3"/>
      <c r="F40" s="3"/>
      <c r="G40" s="3"/>
      <c r="I40" s="3"/>
      <c r="J40" s="3"/>
      <c r="K40" s="3"/>
      <c r="L40" s="3"/>
    </row>
    <row r="41" spans="1:12" ht="12.6" customHeight="1" x14ac:dyDescent="0.2">
      <c r="A41" s="85">
        <v>32</v>
      </c>
      <c r="B41" s="97"/>
      <c r="C41" s="76" t="s">
        <v>78</v>
      </c>
      <c r="D41" s="89">
        <f>6.3+3.5+3.5</f>
        <v>13.3</v>
      </c>
      <c r="E41" s="3"/>
      <c r="F41" s="3"/>
      <c r="G41" s="3"/>
      <c r="I41" s="3"/>
      <c r="J41" s="3"/>
      <c r="K41" s="3"/>
      <c r="L41" s="3"/>
    </row>
    <row r="42" spans="1:12" ht="12.6" customHeight="1" x14ac:dyDescent="0.2">
      <c r="A42" s="85">
        <v>33</v>
      </c>
      <c r="B42" s="84" t="s">
        <v>51</v>
      </c>
      <c r="C42" s="98" t="s">
        <v>97</v>
      </c>
      <c r="D42" s="177">
        <f>D43</f>
        <v>44</v>
      </c>
      <c r="E42" s="3"/>
      <c r="F42" s="3"/>
      <c r="G42" s="3"/>
      <c r="I42" s="3"/>
      <c r="J42" s="3"/>
      <c r="K42" s="3"/>
      <c r="L42" s="3"/>
    </row>
    <row r="43" spans="1:12" ht="12.6" customHeight="1" x14ac:dyDescent="0.2">
      <c r="A43" s="85">
        <v>34</v>
      </c>
      <c r="B43" s="97"/>
      <c r="C43" s="67" t="s">
        <v>65</v>
      </c>
      <c r="D43" s="44">
        <f>39+5</f>
        <v>44</v>
      </c>
      <c r="E43" s="3"/>
      <c r="F43" s="3"/>
      <c r="G43" s="3"/>
      <c r="I43" s="3"/>
      <c r="J43" s="3"/>
      <c r="K43" s="3"/>
      <c r="L43" s="3"/>
    </row>
    <row r="44" spans="1:12" ht="12.6" customHeight="1" x14ac:dyDescent="0.2">
      <c r="A44" s="85">
        <v>35</v>
      </c>
      <c r="B44" s="97"/>
      <c r="C44" s="189" t="s">
        <v>20</v>
      </c>
      <c r="D44" s="79">
        <f>+D10+D37+D42</f>
        <v>2413.8999999999996</v>
      </c>
      <c r="E44" s="4"/>
      <c r="F44" s="3"/>
      <c r="G44" s="3"/>
      <c r="H44" s="3"/>
      <c r="I44" s="3"/>
      <c r="J44" s="3"/>
      <c r="K44" s="3"/>
      <c r="L44" s="3"/>
    </row>
    <row r="45" spans="1:12" x14ac:dyDescent="0.2">
      <c r="D45" s="19"/>
    </row>
    <row r="46" spans="1:12" x14ac:dyDescent="0.2">
      <c r="C46" s="2" t="s">
        <v>114</v>
      </c>
    </row>
    <row r="47" spans="1:12" x14ac:dyDescent="0.2">
      <c r="D47" s="19"/>
    </row>
    <row r="48" spans="1:12" x14ac:dyDescent="0.2">
      <c r="D48" s="19"/>
    </row>
    <row r="49" spans="4:4" x14ac:dyDescent="0.2">
      <c r="D49" s="19"/>
    </row>
    <row r="50" spans="4:4" x14ac:dyDescent="0.2">
      <c r="D50" s="16"/>
    </row>
  </sheetData>
  <mergeCells count="3">
    <mergeCell ref="C1:D1"/>
    <mergeCell ref="C2:D2"/>
    <mergeCell ref="B5:D5"/>
  </mergeCells>
  <pageMargins left="0.70866141732283472" right="0" top="0.78740157480314965" bottom="0.19685039370078741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846C32-864E-42C9-B300-E49A4990BFA0}">
  <dimension ref="A1:J58"/>
  <sheetViews>
    <sheetView zoomScaleNormal="100" workbookViewId="0">
      <selection activeCell="D3" sqref="D3"/>
    </sheetView>
  </sheetViews>
  <sheetFormatPr defaultColWidth="9.140625" defaultRowHeight="12.75" x14ac:dyDescent="0.2"/>
  <cols>
    <col min="1" max="1" width="6" style="2" customWidth="1"/>
    <col min="2" max="2" width="7.42578125" style="10" customWidth="1"/>
    <col min="3" max="3" width="70" style="2" customWidth="1"/>
    <col min="4" max="4" width="9.5703125" style="2" customWidth="1"/>
    <col min="5" max="16384" width="9.140625" style="1"/>
  </cols>
  <sheetData>
    <row r="1" spans="1:10" ht="15.75" customHeight="1" x14ac:dyDescent="0.25">
      <c r="C1" s="291" t="s">
        <v>187</v>
      </c>
      <c r="D1" s="291"/>
    </row>
    <row r="2" spans="1:10" ht="15.75" customHeight="1" x14ac:dyDescent="0.25">
      <c r="C2" s="264" t="s">
        <v>794</v>
      </c>
      <c r="D2" s="264"/>
    </row>
    <row r="3" spans="1:10" ht="15.75" x14ac:dyDescent="0.2">
      <c r="B3" s="13"/>
      <c r="D3" s="14" t="s">
        <v>576</v>
      </c>
    </row>
    <row r="4" spans="1:10" ht="15.75" x14ac:dyDescent="0.2">
      <c r="B4" s="13"/>
      <c r="D4" s="14"/>
    </row>
    <row r="5" spans="1:10" ht="30" customHeight="1" x14ac:dyDescent="0.2">
      <c r="A5" s="292" t="s">
        <v>577</v>
      </c>
      <c r="B5" s="292"/>
      <c r="C5" s="292"/>
      <c r="D5" s="292"/>
    </row>
    <row r="6" spans="1:10" x14ac:dyDescent="0.2">
      <c r="A6" s="80"/>
      <c r="B6" s="80"/>
      <c r="C6" s="80"/>
      <c r="D6" s="80"/>
    </row>
    <row r="7" spans="1:10" x14ac:dyDescent="0.2">
      <c r="B7" s="13"/>
      <c r="D7" s="11" t="s">
        <v>71</v>
      </c>
    </row>
    <row r="8" spans="1:10" ht="43.5" customHeight="1" x14ac:dyDescent="0.2">
      <c r="A8" s="63" t="s">
        <v>68</v>
      </c>
      <c r="B8" s="82" t="s">
        <v>186</v>
      </c>
      <c r="C8" s="63" t="s">
        <v>16</v>
      </c>
      <c r="D8" s="63" t="s">
        <v>17</v>
      </c>
    </row>
    <row r="9" spans="1:10" x14ac:dyDescent="0.2">
      <c r="A9" s="83">
        <v>1</v>
      </c>
      <c r="B9" s="84" t="s">
        <v>18</v>
      </c>
      <c r="C9" s="63">
        <v>3</v>
      </c>
      <c r="D9" s="63">
        <v>4</v>
      </c>
    </row>
    <row r="10" spans="1:10" x14ac:dyDescent="0.2">
      <c r="A10" s="85">
        <v>1</v>
      </c>
      <c r="B10" s="84" t="s">
        <v>47</v>
      </c>
      <c r="C10" s="86" t="s">
        <v>48</v>
      </c>
      <c r="D10" s="87">
        <f>+D11</f>
        <v>2656.7</v>
      </c>
      <c r="E10" s="3"/>
      <c r="F10" s="3"/>
      <c r="G10" s="3"/>
      <c r="H10" s="3"/>
      <c r="I10" s="3"/>
      <c r="J10" s="3"/>
    </row>
    <row r="11" spans="1:10" x14ac:dyDescent="0.2">
      <c r="A11" s="85">
        <v>2</v>
      </c>
      <c r="B11" s="88"/>
      <c r="C11" s="190" t="s">
        <v>92</v>
      </c>
      <c r="D11" s="94">
        <f>SUM(D12:D18)</f>
        <v>2656.7</v>
      </c>
      <c r="E11" s="3"/>
      <c r="F11" s="3"/>
      <c r="G11" s="3"/>
      <c r="H11" s="3"/>
      <c r="I11" s="3"/>
      <c r="J11" s="191"/>
    </row>
    <row r="12" spans="1:10" ht="25.5" x14ac:dyDescent="0.2">
      <c r="A12" s="192" t="s">
        <v>578</v>
      </c>
      <c r="B12" s="88"/>
      <c r="C12" s="96" t="s">
        <v>579</v>
      </c>
      <c r="D12" s="94">
        <f>138.6+28.7</f>
        <v>167.29999999999998</v>
      </c>
      <c r="E12" s="3"/>
      <c r="F12" s="3"/>
      <c r="G12" s="3"/>
      <c r="H12" s="3"/>
      <c r="I12" s="3"/>
      <c r="J12" s="191"/>
    </row>
    <row r="13" spans="1:10" ht="25.5" x14ac:dyDescent="0.2">
      <c r="A13" s="192" t="s">
        <v>580</v>
      </c>
      <c r="B13" s="88"/>
      <c r="C13" s="96" t="s">
        <v>581</v>
      </c>
      <c r="D13" s="94">
        <v>238.8</v>
      </c>
      <c r="E13" s="3"/>
      <c r="F13" s="3"/>
      <c r="G13" s="3"/>
      <c r="H13" s="3"/>
      <c r="I13" s="3"/>
      <c r="J13" s="191"/>
    </row>
    <row r="14" spans="1:10" x14ac:dyDescent="0.2">
      <c r="A14" s="192" t="s">
        <v>582</v>
      </c>
      <c r="B14" s="88"/>
      <c r="C14" s="91" t="s">
        <v>583</v>
      </c>
      <c r="D14" s="94">
        <v>1400</v>
      </c>
      <c r="E14" s="3"/>
      <c r="F14" s="3"/>
      <c r="G14" s="3"/>
      <c r="H14" s="3"/>
      <c r="I14" s="3"/>
      <c r="J14" s="191"/>
    </row>
    <row r="15" spans="1:10" ht="25.5" x14ac:dyDescent="0.2">
      <c r="A15" s="192" t="s">
        <v>584</v>
      </c>
      <c r="B15" s="88"/>
      <c r="C15" s="91" t="s">
        <v>585</v>
      </c>
      <c r="D15" s="94">
        <v>697</v>
      </c>
      <c r="E15" s="3"/>
      <c r="F15" s="3"/>
      <c r="G15" s="3"/>
      <c r="H15" s="3"/>
      <c r="I15" s="3"/>
      <c r="J15" s="191"/>
    </row>
    <row r="16" spans="1:10" x14ac:dyDescent="0.2">
      <c r="A16" s="192" t="s">
        <v>629</v>
      </c>
      <c r="B16" s="88"/>
      <c r="C16" s="91" t="s">
        <v>630</v>
      </c>
      <c r="D16" s="94">
        <v>5.6</v>
      </c>
      <c r="E16" s="3"/>
      <c r="F16" s="3"/>
      <c r="G16" s="3"/>
      <c r="H16" s="3"/>
      <c r="I16" s="3"/>
      <c r="J16" s="191"/>
    </row>
    <row r="17" spans="1:10" ht="25.5" x14ac:dyDescent="0.2">
      <c r="A17" s="192" t="s">
        <v>631</v>
      </c>
      <c r="B17" s="88"/>
      <c r="C17" s="91" t="s">
        <v>632</v>
      </c>
      <c r="D17" s="94">
        <v>138</v>
      </c>
      <c r="E17" s="3"/>
      <c r="F17" s="3"/>
      <c r="G17" s="3"/>
      <c r="H17" s="3"/>
      <c r="I17" s="3"/>
      <c r="J17" s="191"/>
    </row>
    <row r="18" spans="1:10" x14ac:dyDescent="0.2">
      <c r="A18" s="192" t="s">
        <v>633</v>
      </c>
      <c r="B18" s="88"/>
      <c r="C18" s="91" t="s">
        <v>634</v>
      </c>
      <c r="D18" s="94">
        <v>10</v>
      </c>
      <c r="E18" s="3"/>
      <c r="F18" s="3"/>
      <c r="G18" s="3"/>
      <c r="H18" s="3"/>
      <c r="I18" s="3"/>
      <c r="J18" s="191"/>
    </row>
    <row r="19" spans="1:10" x14ac:dyDescent="0.2">
      <c r="A19" s="192" t="s">
        <v>586</v>
      </c>
      <c r="B19" s="84" t="s">
        <v>49</v>
      </c>
      <c r="C19" s="98" t="s">
        <v>50</v>
      </c>
      <c r="D19" s="193">
        <f>+D22+D20</f>
        <v>377.90000000000003</v>
      </c>
      <c r="E19" s="3"/>
      <c r="F19" s="3"/>
      <c r="G19" s="3"/>
      <c r="H19" s="3"/>
      <c r="I19" s="3"/>
      <c r="J19" s="191"/>
    </row>
    <row r="20" spans="1:10" x14ac:dyDescent="0.2">
      <c r="A20" s="192" t="s">
        <v>587</v>
      </c>
      <c r="B20" s="84"/>
      <c r="C20" s="91" t="s">
        <v>109</v>
      </c>
      <c r="D20" s="94">
        <f>+D21</f>
        <v>11.1</v>
      </c>
      <c r="E20" s="3"/>
      <c r="F20" s="3"/>
      <c r="G20" s="3"/>
      <c r="H20" s="3"/>
      <c r="I20" s="3"/>
      <c r="J20" s="191"/>
    </row>
    <row r="21" spans="1:10" ht="25.5" x14ac:dyDescent="0.2">
      <c r="A21" s="192" t="s">
        <v>588</v>
      </c>
      <c r="B21" s="84"/>
      <c r="C21" s="91" t="s">
        <v>798</v>
      </c>
      <c r="D21" s="94">
        <v>11.1</v>
      </c>
      <c r="E21" s="3"/>
      <c r="F21" s="3"/>
      <c r="G21" s="3"/>
      <c r="H21" s="3"/>
      <c r="I21" s="3"/>
      <c r="J21" s="191"/>
    </row>
    <row r="22" spans="1:10" x14ac:dyDescent="0.2">
      <c r="A22" s="192" t="s">
        <v>590</v>
      </c>
      <c r="B22" s="88"/>
      <c r="C22" s="190" t="s">
        <v>92</v>
      </c>
      <c r="D22" s="94">
        <f>+D23+D24</f>
        <v>366.8</v>
      </c>
      <c r="E22" s="3"/>
      <c r="F22" s="3"/>
      <c r="G22" s="3"/>
      <c r="H22" s="3"/>
      <c r="I22" s="3"/>
      <c r="J22" s="191"/>
    </row>
    <row r="23" spans="1:10" x14ac:dyDescent="0.2">
      <c r="A23" s="192" t="s">
        <v>635</v>
      </c>
      <c r="B23" s="88"/>
      <c r="C23" s="96" t="s">
        <v>589</v>
      </c>
      <c r="D23" s="94">
        <v>16.3</v>
      </c>
      <c r="E23" s="3"/>
      <c r="F23" s="3"/>
      <c r="G23" s="3"/>
      <c r="H23" s="3"/>
      <c r="I23" s="3"/>
      <c r="J23" s="191"/>
    </row>
    <row r="24" spans="1:10" ht="24.75" customHeight="1" x14ac:dyDescent="0.2">
      <c r="A24" s="192" t="s">
        <v>636</v>
      </c>
      <c r="B24" s="88"/>
      <c r="C24" s="96" t="s">
        <v>799</v>
      </c>
      <c r="D24" s="94">
        <v>350.5</v>
      </c>
      <c r="E24" s="3"/>
      <c r="F24" s="3"/>
      <c r="G24" s="3"/>
      <c r="H24" s="3"/>
      <c r="I24" s="3"/>
      <c r="J24" s="191"/>
    </row>
    <row r="25" spans="1:10" x14ac:dyDescent="0.2">
      <c r="A25" s="192" t="s">
        <v>591</v>
      </c>
      <c r="B25" s="84" t="s">
        <v>21</v>
      </c>
      <c r="C25" s="98" t="s">
        <v>22</v>
      </c>
      <c r="D25" s="193">
        <f>+D31+D26+D28</f>
        <v>323.60000000000002</v>
      </c>
      <c r="E25" s="3"/>
      <c r="F25" s="3"/>
      <c r="G25" s="3"/>
      <c r="H25" s="3"/>
      <c r="I25" s="3"/>
      <c r="J25" s="191"/>
    </row>
    <row r="26" spans="1:10" x14ac:dyDescent="0.2">
      <c r="A26" s="192" t="s">
        <v>593</v>
      </c>
      <c r="B26" s="84"/>
      <c r="C26" s="76" t="s">
        <v>1</v>
      </c>
      <c r="D26" s="194">
        <f>+D27</f>
        <v>139.80000000000001</v>
      </c>
      <c r="E26" s="3"/>
      <c r="F26" s="3"/>
      <c r="G26" s="3"/>
      <c r="H26" s="3"/>
      <c r="I26" s="3"/>
      <c r="J26" s="191"/>
    </row>
    <row r="27" spans="1:10" x14ac:dyDescent="0.2">
      <c r="A27" s="192" t="s">
        <v>637</v>
      </c>
      <c r="B27" s="84"/>
      <c r="C27" s="70" t="s">
        <v>638</v>
      </c>
      <c r="D27" s="194">
        <v>139.80000000000001</v>
      </c>
      <c r="E27" s="3"/>
      <c r="F27" s="3"/>
      <c r="G27" s="3"/>
      <c r="H27" s="3"/>
      <c r="I27" s="3"/>
      <c r="J27" s="191"/>
    </row>
    <row r="28" spans="1:10" x14ac:dyDescent="0.2">
      <c r="A28" s="192" t="s">
        <v>594</v>
      </c>
      <c r="B28" s="84"/>
      <c r="C28" s="96" t="s">
        <v>639</v>
      </c>
      <c r="D28" s="194">
        <f>+D29+D30</f>
        <v>140.69999999999999</v>
      </c>
      <c r="E28" s="3"/>
      <c r="F28" s="3"/>
      <c r="G28" s="3"/>
      <c r="H28" s="3"/>
      <c r="I28" s="3"/>
      <c r="J28" s="191"/>
    </row>
    <row r="29" spans="1:10" x14ac:dyDescent="0.2">
      <c r="A29" s="192" t="s">
        <v>595</v>
      </c>
      <c r="B29" s="84"/>
      <c r="C29" s="71" t="s">
        <v>640</v>
      </c>
      <c r="D29" s="194">
        <v>49.7</v>
      </c>
      <c r="E29" s="3"/>
      <c r="F29" s="3"/>
      <c r="G29" s="3"/>
      <c r="H29" s="3"/>
      <c r="I29" s="3"/>
      <c r="J29" s="191"/>
    </row>
    <row r="30" spans="1:10" ht="25.5" x14ac:dyDescent="0.2">
      <c r="A30" s="192" t="s">
        <v>641</v>
      </c>
      <c r="B30" s="84"/>
      <c r="C30" s="71" t="s">
        <v>642</v>
      </c>
      <c r="D30" s="194">
        <v>91</v>
      </c>
      <c r="E30" s="3"/>
      <c r="F30" s="3"/>
      <c r="G30" s="3"/>
      <c r="H30" s="3"/>
      <c r="I30" s="3"/>
      <c r="J30" s="191"/>
    </row>
    <row r="31" spans="1:10" x14ac:dyDescent="0.2">
      <c r="A31" s="192" t="s">
        <v>643</v>
      </c>
      <c r="B31" s="84"/>
      <c r="C31" s="190" t="s">
        <v>92</v>
      </c>
      <c r="D31" s="94">
        <f>+D32+D33+D34</f>
        <v>43.1</v>
      </c>
      <c r="E31" s="3"/>
      <c r="F31" s="3"/>
      <c r="G31" s="3"/>
      <c r="H31" s="3"/>
      <c r="I31" s="3"/>
      <c r="J31" s="191"/>
    </row>
    <row r="32" spans="1:10" x14ac:dyDescent="0.2">
      <c r="A32" s="192" t="s">
        <v>644</v>
      </c>
      <c r="B32" s="84"/>
      <c r="C32" s="96" t="s">
        <v>592</v>
      </c>
      <c r="D32" s="94">
        <v>10</v>
      </c>
      <c r="E32" s="3"/>
      <c r="F32" s="3"/>
      <c r="G32" s="3"/>
      <c r="H32" s="3"/>
      <c r="I32" s="3"/>
      <c r="J32" s="191"/>
    </row>
    <row r="33" spans="1:10" ht="13.5" customHeight="1" x14ac:dyDescent="0.2">
      <c r="A33" s="192" t="s">
        <v>645</v>
      </c>
      <c r="B33" s="84"/>
      <c r="C33" s="96" t="s">
        <v>800</v>
      </c>
      <c r="D33" s="94">
        <v>19</v>
      </c>
      <c r="E33" s="3"/>
      <c r="F33" s="3"/>
      <c r="G33" s="3"/>
      <c r="H33" s="3"/>
      <c r="I33" s="3"/>
      <c r="J33" s="191"/>
    </row>
    <row r="34" spans="1:10" x14ac:dyDescent="0.2">
      <c r="A34" s="192" t="s">
        <v>646</v>
      </c>
      <c r="B34" s="84"/>
      <c r="C34" s="71" t="s">
        <v>801</v>
      </c>
      <c r="D34" s="194">
        <v>14.1</v>
      </c>
      <c r="E34" s="3"/>
      <c r="F34" s="3"/>
      <c r="G34" s="3"/>
      <c r="H34" s="3"/>
      <c r="I34" s="3"/>
      <c r="J34" s="191"/>
    </row>
    <row r="35" spans="1:10" x14ac:dyDescent="0.2">
      <c r="A35" s="192" t="s">
        <v>58</v>
      </c>
      <c r="B35" s="84" t="s">
        <v>26</v>
      </c>
      <c r="C35" s="98" t="s">
        <v>27</v>
      </c>
      <c r="D35" s="193">
        <f>+D36</f>
        <v>93.3</v>
      </c>
      <c r="E35" s="3"/>
      <c r="F35" s="3"/>
      <c r="G35" s="3"/>
      <c r="H35" s="3"/>
      <c r="I35" s="3"/>
      <c r="J35" s="191"/>
    </row>
    <row r="36" spans="1:10" x14ac:dyDescent="0.2">
      <c r="A36" s="192" t="s">
        <v>23</v>
      </c>
      <c r="B36" s="88"/>
      <c r="C36" s="190" t="s">
        <v>92</v>
      </c>
      <c r="D36" s="94">
        <f>+D37</f>
        <v>93.3</v>
      </c>
      <c r="E36" s="3"/>
      <c r="F36" s="3"/>
      <c r="G36" s="3"/>
      <c r="H36" s="3"/>
      <c r="I36" s="3"/>
      <c r="J36" s="191"/>
    </row>
    <row r="37" spans="1:10" ht="25.5" x14ac:dyDescent="0.2">
      <c r="A37" s="192" t="s">
        <v>28</v>
      </c>
      <c r="B37" s="88"/>
      <c r="C37" s="195" t="s">
        <v>596</v>
      </c>
      <c r="D37" s="94">
        <v>93.3</v>
      </c>
      <c r="E37" s="3"/>
      <c r="F37" s="3"/>
      <c r="G37" s="3"/>
      <c r="H37" s="3"/>
      <c r="I37" s="3"/>
      <c r="J37" s="191"/>
    </row>
    <row r="38" spans="1:10" ht="15.75" customHeight="1" x14ac:dyDescent="0.2">
      <c r="A38" s="85">
        <v>12</v>
      </c>
      <c r="B38" s="88"/>
      <c r="C38" s="189" t="s">
        <v>20</v>
      </c>
      <c r="D38" s="79">
        <f>+D10+D25+D35+D19</f>
        <v>3451.5</v>
      </c>
      <c r="E38" s="4"/>
      <c r="F38" s="4"/>
      <c r="G38" s="3"/>
      <c r="H38" s="3"/>
      <c r="I38" s="3"/>
      <c r="J38" s="3"/>
    </row>
    <row r="39" spans="1:10" x14ac:dyDescent="0.2">
      <c r="C39" s="2" t="s">
        <v>597</v>
      </c>
      <c r="D39" s="17"/>
    </row>
    <row r="40" spans="1:10" x14ac:dyDescent="0.2">
      <c r="D40" s="17"/>
    </row>
    <row r="41" spans="1:10" x14ac:dyDescent="0.2">
      <c r="C41" s="106"/>
      <c r="D41" s="196"/>
    </row>
    <row r="42" spans="1:10" x14ac:dyDescent="0.2">
      <c r="C42" s="5"/>
      <c r="D42" s="17"/>
    </row>
    <row r="43" spans="1:10" x14ac:dyDescent="0.2">
      <c r="C43" s="5"/>
      <c r="D43" s="17"/>
    </row>
    <row r="45" spans="1:10" x14ac:dyDescent="0.2">
      <c r="C45" s="11"/>
      <c r="D45" s="17"/>
    </row>
    <row r="46" spans="1:10" x14ac:dyDescent="0.2">
      <c r="C46" s="11"/>
    </row>
    <row r="47" spans="1:10" x14ac:dyDescent="0.2">
      <c r="C47" s="11"/>
    </row>
    <row r="48" spans="1:10" x14ac:dyDescent="0.2">
      <c r="C48" s="11"/>
      <c r="D48" s="17"/>
    </row>
    <row r="49" spans="3:4" x14ac:dyDescent="0.2">
      <c r="C49" s="11"/>
      <c r="D49" s="17"/>
    </row>
    <row r="50" spans="3:4" x14ac:dyDescent="0.2">
      <c r="C50" s="197"/>
      <c r="D50" s="17"/>
    </row>
    <row r="51" spans="3:4" x14ac:dyDescent="0.2">
      <c r="C51" s="198"/>
    </row>
    <row r="52" spans="3:4" x14ac:dyDescent="0.2">
      <c r="C52" s="11"/>
    </row>
    <row r="53" spans="3:4" x14ac:dyDescent="0.2">
      <c r="C53" s="11"/>
    </row>
    <row r="54" spans="3:4" x14ac:dyDescent="0.2">
      <c r="C54" s="11"/>
    </row>
    <row r="55" spans="3:4" x14ac:dyDescent="0.2">
      <c r="C55" s="11"/>
    </row>
    <row r="58" spans="3:4" x14ac:dyDescent="0.2">
      <c r="C58" s="11"/>
    </row>
  </sheetData>
  <mergeCells count="3">
    <mergeCell ref="C1:D1"/>
    <mergeCell ref="C2:D2"/>
    <mergeCell ref="A5:D5"/>
  </mergeCells>
  <pageMargins left="0.70866141732283472" right="0" top="0.74803149606299213" bottom="0.74803149606299213" header="0.31496062992125984" footer="0.31496062992125984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110"/>
  <sheetViews>
    <sheetView zoomScaleNormal="100" workbookViewId="0">
      <selection activeCell="D3" sqref="D3"/>
    </sheetView>
  </sheetViews>
  <sheetFormatPr defaultColWidth="9.140625" defaultRowHeight="12.75" x14ac:dyDescent="0.2"/>
  <cols>
    <col min="1" max="1" width="5.85546875" style="2" customWidth="1"/>
    <col min="2" max="2" width="7.42578125" style="13" customWidth="1"/>
    <col min="3" max="3" width="70" style="106" customWidth="1"/>
    <col min="4" max="4" width="9.7109375" style="11" customWidth="1"/>
    <col min="5" max="6" width="9.140625" style="1" customWidth="1"/>
    <col min="7" max="16384" width="9.140625" style="1"/>
  </cols>
  <sheetData>
    <row r="1" spans="1:8" ht="15.75" x14ac:dyDescent="0.25">
      <c r="C1" s="291" t="s">
        <v>162</v>
      </c>
      <c r="D1" s="291"/>
    </row>
    <row r="2" spans="1:8" ht="15.75" x14ac:dyDescent="0.25">
      <c r="C2" s="264" t="s">
        <v>794</v>
      </c>
      <c r="D2" s="264"/>
    </row>
    <row r="3" spans="1:8" ht="15.75" x14ac:dyDescent="0.25">
      <c r="C3" s="33"/>
      <c r="D3" s="14" t="s">
        <v>115</v>
      </c>
    </row>
    <row r="4" spans="1:8" ht="12" customHeight="1" x14ac:dyDescent="0.2">
      <c r="C4" s="12"/>
      <c r="D4" s="12"/>
    </row>
    <row r="5" spans="1:8" ht="25.5" customHeight="1" x14ac:dyDescent="0.2">
      <c r="A5" s="292" t="s">
        <v>222</v>
      </c>
      <c r="B5" s="292"/>
      <c r="C5" s="292"/>
      <c r="D5" s="292"/>
    </row>
    <row r="6" spans="1:8" x14ac:dyDescent="0.2">
      <c r="A6" s="80"/>
      <c r="B6" s="80"/>
      <c r="C6" s="80"/>
      <c r="D6" s="80"/>
    </row>
    <row r="7" spans="1:8" x14ac:dyDescent="0.2">
      <c r="D7" s="81" t="s">
        <v>71</v>
      </c>
    </row>
    <row r="8" spans="1:8" ht="43.5" customHeight="1" x14ac:dyDescent="0.2">
      <c r="A8" s="63" t="s">
        <v>68</v>
      </c>
      <c r="B8" s="82" t="s">
        <v>186</v>
      </c>
      <c r="C8" s="63" t="s">
        <v>16</v>
      </c>
      <c r="D8" s="63" t="s">
        <v>17</v>
      </c>
    </row>
    <row r="9" spans="1:8" s="10" customFormat="1" ht="12" customHeight="1" x14ac:dyDescent="0.2">
      <c r="A9" s="83">
        <v>1</v>
      </c>
      <c r="B9" s="84" t="s">
        <v>18</v>
      </c>
      <c r="C9" s="63">
        <v>3</v>
      </c>
      <c r="D9" s="63">
        <v>4</v>
      </c>
    </row>
    <row r="10" spans="1:8" s="10" customFormat="1" x14ac:dyDescent="0.2">
      <c r="A10" s="85">
        <v>1</v>
      </c>
      <c r="B10" s="82" t="s">
        <v>49</v>
      </c>
      <c r="C10" s="86" t="s">
        <v>50</v>
      </c>
      <c r="D10" s="79">
        <f>SUM(+D11+D13)</f>
        <v>537</v>
      </c>
      <c r="E10" s="21"/>
    </row>
    <row r="11" spans="1:8" s="10" customFormat="1" ht="25.5" x14ac:dyDescent="0.2">
      <c r="A11" s="85">
        <v>2</v>
      </c>
      <c r="B11" s="199" t="s">
        <v>116</v>
      </c>
      <c r="C11" s="100" t="s">
        <v>223</v>
      </c>
      <c r="D11" s="200">
        <f>+D12</f>
        <v>534.70000000000005</v>
      </c>
      <c r="E11" s="21"/>
    </row>
    <row r="12" spans="1:8" s="10" customFormat="1" ht="12.6" customHeight="1" x14ac:dyDescent="0.2">
      <c r="A12" s="85">
        <v>3</v>
      </c>
      <c r="B12" s="199"/>
      <c r="C12" s="102" t="s">
        <v>109</v>
      </c>
      <c r="D12" s="68">
        <v>534.70000000000005</v>
      </c>
      <c r="E12" s="21"/>
    </row>
    <row r="13" spans="1:8" s="10" customFormat="1" ht="12.6" customHeight="1" x14ac:dyDescent="0.2">
      <c r="A13" s="85">
        <v>4</v>
      </c>
      <c r="B13" s="199" t="s">
        <v>117</v>
      </c>
      <c r="C13" s="100" t="s">
        <v>118</v>
      </c>
      <c r="D13" s="200">
        <f>+D14</f>
        <v>2.2999999999999998</v>
      </c>
      <c r="E13" s="21"/>
    </row>
    <row r="14" spans="1:8" s="10" customFormat="1" ht="12.6" customHeight="1" x14ac:dyDescent="0.2">
      <c r="A14" s="85">
        <v>5</v>
      </c>
      <c r="B14" s="82"/>
      <c r="C14" s="183" t="s">
        <v>3</v>
      </c>
      <c r="D14" s="68">
        <v>2.2999999999999998</v>
      </c>
      <c r="E14" s="21"/>
    </row>
    <row r="15" spans="1:8" x14ac:dyDescent="0.2">
      <c r="A15" s="85">
        <v>6</v>
      </c>
      <c r="B15" s="84" t="s">
        <v>21</v>
      </c>
      <c r="C15" s="98" t="s">
        <v>22</v>
      </c>
      <c r="D15" s="79">
        <f>SUM(D16+D22+D24+D26+D38+D41+D43+D45)</f>
        <v>4200.8</v>
      </c>
      <c r="E15" s="3"/>
    </row>
    <row r="16" spans="1:8" ht="24.95" customHeight="1" x14ac:dyDescent="0.2">
      <c r="A16" s="85">
        <v>7</v>
      </c>
      <c r="B16" s="88" t="s">
        <v>119</v>
      </c>
      <c r="C16" s="100" t="s">
        <v>120</v>
      </c>
      <c r="D16" s="201">
        <f>SUM(D17:D21)</f>
        <v>1595</v>
      </c>
      <c r="E16" s="3"/>
      <c r="H16" s="32"/>
    </row>
    <row r="17" spans="1:8" ht="12.6" customHeight="1" x14ac:dyDescent="0.2">
      <c r="A17" s="85">
        <v>8</v>
      </c>
      <c r="B17" s="88"/>
      <c r="C17" s="93" t="s">
        <v>1</v>
      </c>
      <c r="D17" s="89">
        <f>430+55+15</f>
        <v>500</v>
      </c>
      <c r="E17" s="3"/>
    </row>
    <row r="18" spans="1:8" ht="12.6" customHeight="1" x14ac:dyDescent="0.2">
      <c r="A18" s="85">
        <v>9</v>
      </c>
      <c r="B18" s="88"/>
      <c r="C18" s="95" t="s">
        <v>2</v>
      </c>
      <c r="D18" s="89">
        <f>178+23.3</f>
        <v>201.3</v>
      </c>
      <c r="E18" s="3"/>
    </row>
    <row r="19" spans="1:8" ht="12.6" customHeight="1" x14ac:dyDescent="0.2">
      <c r="A19" s="85">
        <v>10</v>
      </c>
      <c r="B19" s="88"/>
      <c r="C19" s="95" t="s">
        <v>15</v>
      </c>
      <c r="D19" s="89">
        <f>120+18.6</f>
        <v>138.6</v>
      </c>
      <c r="E19" s="3"/>
    </row>
    <row r="20" spans="1:8" ht="12.6" customHeight="1" x14ac:dyDescent="0.2">
      <c r="A20" s="85">
        <v>11</v>
      </c>
      <c r="B20" s="88"/>
      <c r="C20" s="95" t="s">
        <v>19</v>
      </c>
      <c r="D20" s="89">
        <f>142+40</f>
        <v>182</v>
      </c>
      <c r="E20" s="3"/>
    </row>
    <row r="21" spans="1:8" ht="12.6" customHeight="1" x14ac:dyDescent="0.2">
      <c r="A21" s="85">
        <v>12</v>
      </c>
      <c r="B21" s="90"/>
      <c r="C21" s="183" t="s">
        <v>3</v>
      </c>
      <c r="D21" s="89">
        <f>540+33.1</f>
        <v>573.1</v>
      </c>
      <c r="E21" s="3"/>
      <c r="H21" s="32"/>
    </row>
    <row r="22" spans="1:8" ht="24.95" customHeight="1" x14ac:dyDescent="0.2">
      <c r="A22" s="85">
        <v>13</v>
      </c>
      <c r="B22" s="88" t="s">
        <v>121</v>
      </c>
      <c r="C22" s="100" t="s">
        <v>224</v>
      </c>
      <c r="D22" s="201">
        <f>SUM(D23:D23)</f>
        <v>912</v>
      </c>
      <c r="E22" s="3"/>
    </row>
    <row r="23" spans="1:8" ht="12.6" customHeight="1" x14ac:dyDescent="0.2">
      <c r="A23" s="85">
        <v>14</v>
      </c>
      <c r="B23" s="88"/>
      <c r="C23" s="93" t="s">
        <v>78</v>
      </c>
      <c r="D23" s="89">
        <v>912</v>
      </c>
      <c r="E23" s="3"/>
    </row>
    <row r="24" spans="1:8" ht="25.5" x14ac:dyDescent="0.2">
      <c r="A24" s="85">
        <v>15</v>
      </c>
      <c r="B24" s="88" t="s">
        <v>122</v>
      </c>
      <c r="C24" s="100" t="s">
        <v>195</v>
      </c>
      <c r="D24" s="201">
        <f>SUM(D25:D25)</f>
        <v>114.9</v>
      </c>
      <c r="E24" s="3"/>
    </row>
    <row r="25" spans="1:8" x14ac:dyDescent="0.2">
      <c r="A25" s="85">
        <v>16</v>
      </c>
      <c r="B25" s="88"/>
      <c r="C25" s="93" t="s">
        <v>78</v>
      </c>
      <c r="D25" s="89">
        <f>144.9-30</f>
        <v>114.9</v>
      </c>
      <c r="E25" s="3"/>
    </row>
    <row r="26" spans="1:8" x14ac:dyDescent="0.2">
      <c r="A26" s="85">
        <v>17</v>
      </c>
      <c r="B26" s="88" t="s">
        <v>124</v>
      </c>
      <c r="C26" s="100" t="s">
        <v>123</v>
      </c>
      <c r="D26" s="201">
        <f>SUM(D27:D37)</f>
        <v>370.1</v>
      </c>
      <c r="E26" s="3"/>
      <c r="G26" s="32"/>
    </row>
    <row r="27" spans="1:8" ht="12.6" customHeight="1" x14ac:dyDescent="0.2">
      <c r="A27" s="85">
        <v>18</v>
      </c>
      <c r="B27" s="88"/>
      <c r="C27" s="70" t="s">
        <v>8</v>
      </c>
      <c r="D27" s="89">
        <f>232.9-26.9-24</f>
        <v>182</v>
      </c>
      <c r="E27" s="3"/>
    </row>
    <row r="28" spans="1:8" ht="12.6" customHeight="1" x14ac:dyDescent="0.2">
      <c r="A28" s="85">
        <v>19</v>
      </c>
      <c r="B28" s="88"/>
      <c r="C28" s="70" t="s">
        <v>4</v>
      </c>
      <c r="D28" s="89">
        <f>38.5-3.7+2</f>
        <v>36.799999999999997</v>
      </c>
      <c r="E28" s="3"/>
    </row>
    <row r="29" spans="1:8" ht="12.6" customHeight="1" x14ac:dyDescent="0.2">
      <c r="A29" s="85">
        <v>20</v>
      </c>
      <c r="B29" s="88"/>
      <c r="C29" s="70" t="s">
        <v>5</v>
      </c>
      <c r="D29" s="89">
        <f>11.5-1.8</f>
        <v>9.6999999999999993</v>
      </c>
      <c r="E29" s="3"/>
    </row>
    <row r="30" spans="1:8" ht="12.6" customHeight="1" x14ac:dyDescent="0.2">
      <c r="A30" s="85">
        <v>21</v>
      </c>
      <c r="B30" s="88"/>
      <c r="C30" s="70" t="s">
        <v>7</v>
      </c>
      <c r="D30" s="89">
        <f>21.3-3+3</f>
        <v>21.3</v>
      </c>
      <c r="E30" s="3"/>
    </row>
    <row r="31" spans="1:8" ht="12.6" customHeight="1" x14ac:dyDescent="0.2">
      <c r="A31" s="85">
        <v>22</v>
      </c>
      <c r="B31" s="88"/>
      <c r="C31" s="70" t="s">
        <v>6</v>
      </c>
      <c r="D31" s="89">
        <v>18.5</v>
      </c>
      <c r="E31" s="3"/>
    </row>
    <row r="32" spans="1:8" ht="12.6" customHeight="1" x14ac:dyDescent="0.2">
      <c r="A32" s="85">
        <v>23</v>
      </c>
      <c r="B32" s="88"/>
      <c r="C32" s="70" t="s">
        <v>9</v>
      </c>
      <c r="D32" s="89">
        <f>28.2+0.5</f>
        <v>28.7</v>
      </c>
      <c r="E32" s="3"/>
    </row>
    <row r="33" spans="1:5" ht="12.6" customHeight="1" x14ac:dyDescent="0.2">
      <c r="A33" s="85">
        <v>24</v>
      </c>
      <c r="B33" s="88"/>
      <c r="C33" s="93" t="s">
        <v>10</v>
      </c>
      <c r="D33" s="89">
        <f>10.3-3+1</f>
        <v>8.3000000000000007</v>
      </c>
      <c r="E33" s="3"/>
    </row>
    <row r="34" spans="1:5" ht="12.6" customHeight="1" x14ac:dyDescent="0.2">
      <c r="A34" s="85">
        <v>25</v>
      </c>
      <c r="B34" s="88"/>
      <c r="C34" s="70" t="s">
        <v>12</v>
      </c>
      <c r="D34" s="89">
        <f>10.3+3.8+1</f>
        <v>15.100000000000001</v>
      </c>
      <c r="E34" s="3"/>
    </row>
    <row r="35" spans="1:5" ht="12.6" customHeight="1" x14ac:dyDescent="0.2">
      <c r="A35" s="85">
        <v>26</v>
      </c>
      <c r="B35" s="88"/>
      <c r="C35" s="70" t="s">
        <v>11</v>
      </c>
      <c r="D35" s="89">
        <f>13.1+2.1</f>
        <v>15.2</v>
      </c>
      <c r="E35" s="3"/>
    </row>
    <row r="36" spans="1:5" ht="12.6" customHeight="1" x14ac:dyDescent="0.2">
      <c r="A36" s="85">
        <v>27</v>
      </c>
      <c r="B36" s="88"/>
      <c r="C36" s="70" t="s">
        <v>13</v>
      </c>
      <c r="D36" s="89">
        <v>8.5</v>
      </c>
      <c r="E36" s="3"/>
    </row>
    <row r="37" spans="1:5" ht="12.6" customHeight="1" x14ac:dyDescent="0.2">
      <c r="A37" s="85">
        <v>28</v>
      </c>
      <c r="B37" s="88"/>
      <c r="C37" s="70" t="s">
        <v>14</v>
      </c>
      <c r="D37" s="89">
        <f>21-3+8</f>
        <v>26</v>
      </c>
      <c r="E37" s="3"/>
    </row>
    <row r="38" spans="1:5" x14ac:dyDescent="0.2">
      <c r="A38" s="85">
        <v>29</v>
      </c>
      <c r="B38" s="88"/>
      <c r="C38" s="99" t="s">
        <v>225</v>
      </c>
      <c r="D38" s="201">
        <f>SUM(D39:D40)</f>
        <v>9.8000000000000007</v>
      </c>
      <c r="E38" s="3"/>
    </row>
    <row r="39" spans="1:5" ht="12.6" customHeight="1" x14ac:dyDescent="0.2">
      <c r="A39" s="85">
        <v>30</v>
      </c>
      <c r="B39" s="88"/>
      <c r="C39" s="70" t="s">
        <v>3</v>
      </c>
      <c r="D39" s="89">
        <f>8.3-1</f>
        <v>7.3000000000000007</v>
      </c>
      <c r="E39" s="3"/>
    </row>
    <row r="40" spans="1:5" ht="12.6" customHeight="1" x14ac:dyDescent="0.2">
      <c r="A40" s="85">
        <v>31</v>
      </c>
      <c r="B40" s="88"/>
      <c r="C40" s="70" t="s">
        <v>8</v>
      </c>
      <c r="D40" s="89">
        <f>1.5+1</f>
        <v>2.5</v>
      </c>
      <c r="E40" s="3"/>
    </row>
    <row r="41" spans="1:5" ht="29.25" customHeight="1" x14ac:dyDescent="0.2">
      <c r="A41" s="85">
        <v>32</v>
      </c>
      <c r="B41" s="88" t="s">
        <v>126</v>
      </c>
      <c r="C41" s="202" t="s">
        <v>125</v>
      </c>
      <c r="D41" s="201">
        <f>+D42</f>
        <v>996.3</v>
      </c>
      <c r="E41" s="3"/>
    </row>
    <row r="42" spans="1:5" ht="12.6" customHeight="1" x14ac:dyDescent="0.2">
      <c r="A42" s="85">
        <v>33</v>
      </c>
      <c r="B42" s="88"/>
      <c r="C42" s="183" t="s">
        <v>3</v>
      </c>
      <c r="D42" s="89">
        <v>996.3</v>
      </c>
      <c r="E42" s="3"/>
    </row>
    <row r="43" spans="1:5" x14ac:dyDescent="0.2">
      <c r="A43" s="85">
        <v>34</v>
      </c>
      <c r="B43" s="88" t="s">
        <v>194</v>
      </c>
      <c r="C43" s="202" t="s">
        <v>127</v>
      </c>
      <c r="D43" s="201">
        <f>+D44</f>
        <v>7.7</v>
      </c>
      <c r="E43" s="3"/>
    </row>
    <row r="44" spans="1:5" ht="12.6" customHeight="1" x14ac:dyDescent="0.2">
      <c r="A44" s="85">
        <v>35</v>
      </c>
      <c r="B44" s="88"/>
      <c r="C44" s="183" t="s">
        <v>3</v>
      </c>
      <c r="D44" s="89">
        <v>7.7</v>
      </c>
      <c r="E44" s="3"/>
    </row>
    <row r="45" spans="1:5" ht="12.6" customHeight="1" x14ac:dyDescent="0.2">
      <c r="A45" s="85">
        <v>36</v>
      </c>
      <c r="B45" s="88" t="s">
        <v>200</v>
      </c>
      <c r="C45" s="202" t="s">
        <v>226</v>
      </c>
      <c r="D45" s="201">
        <f>SUM(D46:D57)</f>
        <v>195.00000000000003</v>
      </c>
      <c r="E45" s="3"/>
    </row>
    <row r="46" spans="1:5" ht="12.6" customHeight="1" x14ac:dyDescent="0.2">
      <c r="A46" s="85">
        <v>37</v>
      </c>
      <c r="B46" s="88"/>
      <c r="C46" s="183" t="s">
        <v>3</v>
      </c>
      <c r="D46" s="201">
        <f>56.5-3</f>
        <v>53.5</v>
      </c>
      <c r="E46" s="3"/>
    </row>
    <row r="47" spans="1:5" ht="12.6" customHeight="1" x14ac:dyDescent="0.2">
      <c r="A47" s="85">
        <v>38</v>
      </c>
      <c r="B47" s="88"/>
      <c r="C47" s="70" t="s">
        <v>8</v>
      </c>
      <c r="D47" s="89">
        <v>50.1</v>
      </c>
      <c r="E47" s="3"/>
    </row>
    <row r="48" spans="1:5" ht="12.6" customHeight="1" x14ac:dyDescent="0.2">
      <c r="A48" s="85">
        <v>39</v>
      </c>
      <c r="B48" s="88"/>
      <c r="C48" s="70" t="s">
        <v>4</v>
      </c>
      <c r="D48" s="89">
        <v>12.6</v>
      </c>
      <c r="E48" s="3"/>
    </row>
    <row r="49" spans="1:5" ht="12.6" customHeight="1" x14ac:dyDescent="0.2">
      <c r="A49" s="85">
        <v>40</v>
      </c>
      <c r="B49" s="88"/>
      <c r="C49" s="70" t="s">
        <v>5</v>
      </c>
      <c r="D49" s="89">
        <f>8.4+1</f>
        <v>9.4</v>
      </c>
      <c r="E49" s="3"/>
    </row>
    <row r="50" spans="1:5" ht="12.6" customHeight="1" x14ac:dyDescent="0.2">
      <c r="A50" s="85">
        <v>41</v>
      </c>
      <c r="B50" s="88"/>
      <c r="C50" s="70" t="s">
        <v>7</v>
      </c>
      <c r="D50" s="89">
        <v>12.6</v>
      </c>
      <c r="E50" s="3"/>
    </row>
    <row r="51" spans="1:5" ht="12.6" customHeight="1" x14ac:dyDescent="0.2">
      <c r="A51" s="85">
        <v>42</v>
      </c>
      <c r="B51" s="88"/>
      <c r="C51" s="70" t="s">
        <v>6</v>
      </c>
      <c r="D51" s="89">
        <f>8.4+1</f>
        <v>9.4</v>
      </c>
      <c r="E51" s="3"/>
    </row>
    <row r="52" spans="1:5" ht="12.6" customHeight="1" x14ac:dyDescent="0.2">
      <c r="A52" s="85">
        <v>43</v>
      </c>
      <c r="B52" s="88"/>
      <c r="C52" s="70" t="s">
        <v>9</v>
      </c>
      <c r="D52" s="89">
        <f>12.6+1</f>
        <v>13.6</v>
      </c>
      <c r="E52" s="3"/>
    </row>
    <row r="53" spans="1:5" ht="12.6" customHeight="1" x14ac:dyDescent="0.2">
      <c r="A53" s="85">
        <v>44</v>
      </c>
      <c r="B53" s="88"/>
      <c r="C53" s="93" t="s">
        <v>10</v>
      </c>
      <c r="D53" s="89">
        <v>4.3</v>
      </c>
      <c r="E53" s="3"/>
    </row>
    <row r="54" spans="1:5" ht="12.6" customHeight="1" x14ac:dyDescent="0.2">
      <c r="A54" s="85">
        <v>45</v>
      </c>
      <c r="B54" s="88"/>
      <c r="C54" s="70" t="s">
        <v>12</v>
      </c>
      <c r="D54" s="89">
        <v>4.3</v>
      </c>
      <c r="E54" s="3"/>
    </row>
    <row r="55" spans="1:5" ht="12.6" customHeight="1" x14ac:dyDescent="0.2">
      <c r="A55" s="85">
        <v>46</v>
      </c>
      <c r="B55" s="88"/>
      <c r="C55" s="70" t="s">
        <v>11</v>
      </c>
      <c r="D55" s="89">
        <v>8.4</v>
      </c>
      <c r="E55" s="3"/>
    </row>
    <row r="56" spans="1:5" ht="12.6" customHeight="1" x14ac:dyDescent="0.2">
      <c r="A56" s="85">
        <v>47</v>
      </c>
      <c r="B56" s="88"/>
      <c r="C56" s="70" t="s">
        <v>13</v>
      </c>
      <c r="D56" s="89">
        <v>8.4</v>
      </c>
      <c r="E56" s="3"/>
    </row>
    <row r="57" spans="1:5" ht="12.6" customHeight="1" x14ac:dyDescent="0.2">
      <c r="A57" s="85">
        <v>48</v>
      </c>
      <c r="B57" s="88"/>
      <c r="C57" s="70" t="s">
        <v>14</v>
      </c>
      <c r="D57" s="89">
        <v>8.4</v>
      </c>
      <c r="E57" s="3"/>
    </row>
    <row r="58" spans="1:5" x14ac:dyDescent="0.2">
      <c r="A58" s="85">
        <v>49</v>
      </c>
      <c r="B58" s="84" t="s">
        <v>26</v>
      </c>
      <c r="C58" s="98" t="s">
        <v>27</v>
      </c>
      <c r="D58" s="79">
        <f>+D59+D71</f>
        <v>615.9</v>
      </c>
      <c r="E58" s="3"/>
    </row>
    <row r="59" spans="1:5" ht="12.6" customHeight="1" x14ac:dyDescent="0.2">
      <c r="A59" s="85">
        <v>50</v>
      </c>
      <c r="B59" s="88" t="s">
        <v>128</v>
      </c>
      <c r="C59" s="202" t="s">
        <v>129</v>
      </c>
      <c r="D59" s="201">
        <f>SUM(D60:D70)</f>
        <v>255.89999999999998</v>
      </c>
      <c r="E59" s="3"/>
    </row>
    <row r="60" spans="1:5" ht="12.6" customHeight="1" x14ac:dyDescent="0.2">
      <c r="A60" s="85">
        <v>51</v>
      </c>
      <c r="B60" s="88"/>
      <c r="C60" s="183" t="s">
        <v>3</v>
      </c>
      <c r="D60" s="89">
        <f>145.1+4.8</f>
        <v>149.9</v>
      </c>
      <c r="E60" s="3"/>
    </row>
    <row r="61" spans="1:5" ht="12.6" customHeight="1" x14ac:dyDescent="0.2">
      <c r="A61" s="85">
        <v>52</v>
      </c>
      <c r="B61" s="88"/>
      <c r="C61" s="70" t="s">
        <v>4</v>
      </c>
      <c r="D61" s="89">
        <f>13.5+1.2</f>
        <v>14.7</v>
      </c>
      <c r="E61" s="3"/>
    </row>
    <row r="62" spans="1:5" ht="12.6" customHeight="1" x14ac:dyDescent="0.2">
      <c r="A62" s="85">
        <v>53</v>
      </c>
      <c r="B62" s="88"/>
      <c r="C62" s="70" t="s">
        <v>5</v>
      </c>
      <c r="D62" s="89">
        <v>10.199999999999999</v>
      </c>
      <c r="E62" s="3"/>
    </row>
    <row r="63" spans="1:5" ht="12.6" customHeight="1" x14ac:dyDescent="0.2">
      <c r="A63" s="85">
        <v>54</v>
      </c>
      <c r="B63" s="88"/>
      <c r="C63" s="70" t="s">
        <v>7</v>
      </c>
      <c r="D63" s="89">
        <v>5.9</v>
      </c>
      <c r="E63" s="3"/>
    </row>
    <row r="64" spans="1:5" ht="12.6" customHeight="1" x14ac:dyDescent="0.2">
      <c r="A64" s="85">
        <v>55</v>
      </c>
      <c r="B64" s="88"/>
      <c r="C64" s="70" t="s">
        <v>6</v>
      </c>
      <c r="D64" s="89">
        <f>15.4-6.4</f>
        <v>9</v>
      </c>
      <c r="E64" s="3"/>
    </row>
    <row r="65" spans="1:5" ht="12.6" customHeight="1" x14ac:dyDescent="0.2">
      <c r="A65" s="85">
        <v>56</v>
      </c>
      <c r="B65" s="88"/>
      <c r="C65" s="70" t="s">
        <v>9</v>
      </c>
      <c r="D65" s="89">
        <v>14.6</v>
      </c>
      <c r="E65" s="3"/>
    </row>
    <row r="66" spans="1:5" ht="12.6" customHeight="1" x14ac:dyDescent="0.2">
      <c r="A66" s="85">
        <v>57</v>
      </c>
      <c r="B66" s="88"/>
      <c r="C66" s="93" t="s">
        <v>10</v>
      </c>
      <c r="D66" s="89">
        <f>10.8+0.2</f>
        <v>11</v>
      </c>
      <c r="E66" s="3"/>
    </row>
    <row r="67" spans="1:5" ht="12.6" customHeight="1" x14ac:dyDescent="0.2">
      <c r="A67" s="85">
        <v>58</v>
      </c>
      <c r="B67" s="88"/>
      <c r="C67" s="70" t="s">
        <v>12</v>
      </c>
      <c r="D67" s="89">
        <f>9.4+0.2</f>
        <v>9.6</v>
      </c>
      <c r="E67" s="3"/>
    </row>
    <row r="68" spans="1:5" ht="12.6" customHeight="1" x14ac:dyDescent="0.2">
      <c r="A68" s="85">
        <v>59</v>
      </c>
      <c r="B68" s="88"/>
      <c r="C68" s="70" t="s">
        <v>11</v>
      </c>
      <c r="D68" s="89">
        <v>13.5</v>
      </c>
      <c r="E68" s="3"/>
    </row>
    <row r="69" spans="1:5" ht="12.6" customHeight="1" x14ac:dyDescent="0.2">
      <c r="A69" s="85">
        <v>60</v>
      </c>
      <c r="B69" s="88"/>
      <c r="C69" s="70" t="s">
        <v>13</v>
      </c>
      <c r="D69" s="89">
        <v>10.8</v>
      </c>
      <c r="E69" s="3"/>
    </row>
    <row r="70" spans="1:5" ht="12.6" customHeight="1" x14ac:dyDescent="0.2">
      <c r="A70" s="85">
        <v>61</v>
      </c>
      <c r="B70" s="88"/>
      <c r="C70" s="70" t="s">
        <v>14</v>
      </c>
      <c r="D70" s="89">
        <v>6.7</v>
      </c>
      <c r="E70" s="3"/>
    </row>
    <row r="71" spans="1:5" ht="51" x14ac:dyDescent="0.2">
      <c r="A71" s="293">
        <v>62</v>
      </c>
      <c r="B71" s="295" t="s">
        <v>130</v>
      </c>
      <c r="C71" s="100" t="s">
        <v>805</v>
      </c>
      <c r="D71" s="201">
        <f>+D73</f>
        <v>360</v>
      </c>
      <c r="E71" s="3"/>
    </row>
    <row r="72" spans="1:5" ht="12.6" customHeight="1" x14ac:dyDescent="0.2">
      <c r="A72" s="294"/>
      <c r="B72" s="296"/>
      <c r="C72" s="100" t="s">
        <v>131</v>
      </c>
      <c r="D72" s="201">
        <v>9</v>
      </c>
      <c r="E72" s="3"/>
    </row>
    <row r="73" spans="1:5" ht="12.6" customHeight="1" x14ac:dyDescent="0.2">
      <c r="A73" s="85">
        <v>63</v>
      </c>
      <c r="B73" s="88"/>
      <c r="C73" s="183" t="s">
        <v>3</v>
      </c>
      <c r="D73" s="89">
        <v>360</v>
      </c>
      <c r="E73" s="3"/>
    </row>
    <row r="74" spans="1:5" x14ac:dyDescent="0.2">
      <c r="A74" s="85">
        <v>64</v>
      </c>
      <c r="B74" s="84" t="s">
        <v>23</v>
      </c>
      <c r="C74" s="98" t="s">
        <v>24</v>
      </c>
      <c r="D74" s="79">
        <f>SUM(D75+D77+D79+D81+D83+D85+D87+D89+D91+D93+D95+D97+D99+D101)</f>
        <v>1768.4999999999998</v>
      </c>
      <c r="E74" s="3"/>
    </row>
    <row r="75" spans="1:5" ht="12.6" customHeight="1" x14ac:dyDescent="0.2">
      <c r="A75" s="85">
        <v>65</v>
      </c>
      <c r="B75" s="88" t="s">
        <v>28</v>
      </c>
      <c r="C75" s="202" t="s">
        <v>132</v>
      </c>
      <c r="D75" s="201">
        <f>+D76</f>
        <v>1445</v>
      </c>
      <c r="E75" s="3"/>
    </row>
    <row r="76" spans="1:5" ht="12.6" customHeight="1" x14ac:dyDescent="0.2">
      <c r="A76" s="85">
        <v>66</v>
      </c>
      <c r="B76" s="203"/>
      <c r="C76" s="70" t="s">
        <v>25</v>
      </c>
      <c r="D76" s="89">
        <v>1445</v>
      </c>
      <c r="E76" s="3"/>
    </row>
    <row r="77" spans="1:5" ht="12.6" customHeight="1" x14ac:dyDescent="0.2">
      <c r="A77" s="85">
        <v>67</v>
      </c>
      <c r="B77" s="88" t="s">
        <v>29</v>
      </c>
      <c r="C77" s="100" t="s">
        <v>133</v>
      </c>
      <c r="D77" s="201">
        <f>SUM(D78:D78)</f>
        <v>0.8</v>
      </c>
      <c r="E77" s="3"/>
    </row>
    <row r="78" spans="1:5" ht="12.6" customHeight="1" x14ac:dyDescent="0.2">
      <c r="A78" s="85">
        <v>68</v>
      </c>
      <c r="B78" s="88"/>
      <c r="C78" s="183" t="s">
        <v>3</v>
      </c>
      <c r="D78" s="89">
        <v>0.8</v>
      </c>
      <c r="E78" s="3"/>
    </row>
    <row r="79" spans="1:5" ht="12.6" customHeight="1" x14ac:dyDescent="0.2">
      <c r="A79" s="85">
        <v>69</v>
      </c>
      <c r="B79" s="199" t="s">
        <v>30</v>
      </c>
      <c r="C79" s="100" t="s">
        <v>134</v>
      </c>
      <c r="D79" s="200">
        <f>+D80</f>
        <v>47.9</v>
      </c>
      <c r="E79" s="3"/>
    </row>
    <row r="80" spans="1:5" ht="12.6" customHeight="1" x14ac:dyDescent="0.2">
      <c r="A80" s="85">
        <v>70</v>
      </c>
      <c r="B80" s="88"/>
      <c r="C80" s="183" t="s">
        <v>3</v>
      </c>
      <c r="D80" s="89">
        <v>47.9</v>
      </c>
      <c r="E80" s="3"/>
    </row>
    <row r="81" spans="1:5" ht="12.6" customHeight="1" x14ac:dyDescent="0.2">
      <c r="A81" s="85">
        <v>71</v>
      </c>
      <c r="B81" s="88" t="s">
        <v>31</v>
      </c>
      <c r="C81" s="100" t="s">
        <v>135</v>
      </c>
      <c r="D81" s="200">
        <f>+D82</f>
        <v>35.299999999999997</v>
      </c>
      <c r="E81" s="3"/>
    </row>
    <row r="82" spans="1:5" ht="12.6" customHeight="1" x14ac:dyDescent="0.2">
      <c r="A82" s="85">
        <v>72</v>
      </c>
      <c r="B82" s="88"/>
      <c r="C82" s="183" t="s">
        <v>3</v>
      </c>
      <c r="D82" s="89">
        <v>35.299999999999997</v>
      </c>
      <c r="E82" s="3"/>
    </row>
    <row r="83" spans="1:5" ht="12.6" customHeight="1" x14ac:dyDescent="0.2">
      <c r="A83" s="85">
        <v>73</v>
      </c>
      <c r="B83" s="88" t="s">
        <v>93</v>
      </c>
      <c r="C83" s="100" t="s">
        <v>136</v>
      </c>
      <c r="D83" s="200">
        <f>+D84</f>
        <v>46.8</v>
      </c>
      <c r="E83" s="3"/>
    </row>
    <row r="84" spans="1:5" ht="12.6" customHeight="1" x14ac:dyDescent="0.2">
      <c r="A84" s="85">
        <v>74</v>
      </c>
      <c r="B84" s="88"/>
      <c r="C84" s="183" t="s">
        <v>3</v>
      </c>
      <c r="D84" s="68">
        <f>45.9+0.9</f>
        <v>46.8</v>
      </c>
      <c r="E84" s="3"/>
    </row>
    <row r="85" spans="1:5" ht="12.6" customHeight="1" x14ac:dyDescent="0.2">
      <c r="A85" s="85">
        <v>75</v>
      </c>
      <c r="B85" s="88" t="s">
        <v>137</v>
      </c>
      <c r="C85" s="202" t="s">
        <v>138</v>
      </c>
      <c r="D85" s="200">
        <f>+D86</f>
        <v>9</v>
      </c>
      <c r="E85" s="3"/>
    </row>
    <row r="86" spans="1:5" ht="12.6" customHeight="1" x14ac:dyDescent="0.2">
      <c r="A86" s="85">
        <v>76</v>
      </c>
      <c r="B86" s="88"/>
      <c r="C86" s="183" t="s">
        <v>3</v>
      </c>
      <c r="D86" s="89">
        <v>9</v>
      </c>
      <c r="E86" s="3"/>
    </row>
    <row r="87" spans="1:5" ht="12.6" customHeight="1" x14ac:dyDescent="0.2">
      <c r="A87" s="85">
        <v>77</v>
      </c>
      <c r="B87" s="88" t="s">
        <v>139</v>
      </c>
      <c r="C87" s="100" t="s">
        <v>140</v>
      </c>
      <c r="D87" s="201">
        <f>+D88</f>
        <v>34.299999999999997</v>
      </c>
      <c r="E87" s="3"/>
    </row>
    <row r="88" spans="1:5" ht="12.6" customHeight="1" x14ac:dyDescent="0.2">
      <c r="A88" s="85">
        <v>78</v>
      </c>
      <c r="B88" s="88"/>
      <c r="C88" s="183" t="s">
        <v>3</v>
      </c>
      <c r="D88" s="89">
        <v>34.299999999999997</v>
      </c>
      <c r="E88" s="3"/>
    </row>
    <row r="89" spans="1:5" ht="12.6" customHeight="1" x14ac:dyDescent="0.2">
      <c r="A89" s="85">
        <v>79</v>
      </c>
      <c r="B89" s="88" t="s">
        <v>193</v>
      </c>
      <c r="C89" s="202" t="s">
        <v>227</v>
      </c>
      <c r="D89" s="201">
        <f>+D90</f>
        <v>23.2</v>
      </c>
      <c r="E89" s="3"/>
    </row>
    <row r="90" spans="1:5" ht="12.6" customHeight="1" x14ac:dyDescent="0.2">
      <c r="A90" s="85">
        <v>80</v>
      </c>
      <c r="B90" s="88"/>
      <c r="C90" s="183" t="s">
        <v>3</v>
      </c>
      <c r="D90" s="89">
        <f>19.5+3.7</f>
        <v>23.2</v>
      </c>
      <c r="E90" s="3"/>
    </row>
    <row r="91" spans="1:5" ht="12.6" customHeight="1" x14ac:dyDescent="0.2">
      <c r="A91" s="85">
        <v>81</v>
      </c>
      <c r="B91" s="88" t="s">
        <v>141</v>
      </c>
      <c r="C91" s="100" t="s">
        <v>228</v>
      </c>
      <c r="D91" s="201">
        <f>+D92</f>
        <v>12.7</v>
      </c>
      <c r="E91" s="3"/>
    </row>
    <row r="92" spans="1:5" ht="12.6" customHeight="1" x14ac:dyDescent="0.2">
      <c r="A92" s="85">
        <v>82</v>
      </c>
      <c r="B92" s="88"/>
      <c r="C92" s="183" t="s">
        <v>3</v>
      </c>
      <c r="D92" s="89">
        <v>12.7</v>
      </c>
      <c r="E92" s="3"/>
    </row>
    <row r="93" spans="1:5" ht="12.6" customHeight="1" x14ac:dyDescent="0.2">
      <c r="A93" s="85">
        <v>83</v>
      </c>
      <c r="B93" s="88" t="s">
        <v>142</v>
      </c>
      <c r="C93" s="202" t="s">
        <v>199</v>
      </c>
      <c r="D93" s="201">
        <f>+D94</f>
        <v>1.3</v>
      </c>
      <c r="E93" s="3"/>
    </row>
    <row r="94" spans="1:5" ht="12.6" customHeight="1" x14ac:dyDescent="0.2">
      <c r="A94" s="85">
        <v>84</v>
      </c>
      <c r="B94" s="88"/>
      <c r="C94" s="183" t="s">
        <v>3</v>
      </c>
      <c r="D94" s="89">
        <v>1.3</v>
      </c>
      <c r="E94" s="3"/>
    </row>
    <row r="95" spans="1:5" ht="12.6" customHeight="1" x14ac:dyDescent="0.2">
      <c r="A95" s="85">
        <v>85</v>
      </c>
      <c r="B95" s="88" t="s">
        <v>143</v>
      </c>
      <c r="C95" s="202" t="s">
        <v>145</v>
      </c>
      <c r="D95" s="201">
        <f>SUM(D96:D96)</f>
        <v>5</v>
      </c>
      <c r="E95" s="3"/>
    </row>
    <row r="96" spans="1:5" ht="12.6" customHeight="1" x14ac:dyDescent="0.2">
      <c r="A96" s="85">
        <v>86</v>
      </c>
      <c r="B96" s="90"/>
      <c r="C96" s="70" t="s">
        <v>8</v>
      </c>
      <c r="D96" s="89">
        <v>5</v>
      </c>
      <c r="E96" s="3"/>
    </row>
    <row r="97" spans="1:5" ht="38.25" x14ac:dyDescent="0.2">
      <c r="A97" s="85">
        <v>87</v>
      </c>
      <c r="B97" s="88" t="s">
        <v>144</v>
      </c>
      <c r="C97" s="99" t="s">
        <v>160</v>
      </c>
      <c r="D97" s="89">
        <f>+D98</f>
        <v>22.8</v>
      </c>
      <c r="E97" s="204"/>
    </row>
    <row r="98" spans="1:5" ht="12.6" customHeight="1" x14ac:dyDescent="0.2">
      <c r="A98" s="85">
        <v>88</v>
      </c>
      <c r="B98" s="88"/>
      <c r="C98" s="205" t="s">
        <v>3</v>
      </c>
      <c r="D98" s="89">
        <v>22.8</v>
      </c>
      <c r="E98" s="3"/>
    </row>
    <row r="99" spans="1:5" ht="12.6" customHeight="1" x14ac:dyDescent="0.2">
      <c r="A99" s="85">
        <v>89</v>
      </c>
      <c r="B99" s="88" t="s">
        <v>205</v>
      </c>
      <c r="C99" s="99" t="s">
        <v>229</v>
      </c>
      <c r="D99" s="89">
        <f>+D100</f>
        <v>18.600000000000001</v>
      </c>
      <c r="E99" s="206"/>
    </row>
    <row r="100" spans="1:5" ht="12.6" customHeight="1" x14ac:dyDescent="0.2">
      <c r="A100" s="85">
        <v>90</v>
      </c>
      <c r="B100" s="88"/>
      <c r="C100" s="70" t="s">
        <v>3</v>
      </c>
      <c r="D100" s="89">
        <v>18.600000000000001</v>
      </c>
      <c r="E100" s="206"/>
    </row>
    <row r="101" spans="1:5" ht="26.25" customHeight="1" x14ac:dyDescent="0.2">
      <c r="A101" s="85">
        <v>91</v>
      </c>
      <c r="B101" s="88" t="s">
        <v>230</v>
      </c>
      <c r="C101" s="99" t="s">
        <v>231</v>
      </c>
      <c r="D101" s="89">
        <f>+D102</f>
        <v>65.8</v>
      </c>
      <c r="E101" s="206"/>
    </row>
    <row r="102" spans="1:5" ht="12.6" customHeight="1" x14ac:dyDescent="0.2">
      <c r="A102" s="85">
        <v>92</v>
      </c>
      <c r="B102" s="88"/>
      <c r="C102" s="70" t="s">
        <v>3</v>
      </c>
      <c r="D102" s="89">
        <v>65.8</v>
      </c>
      <c r="E102" s="206"/>
    </row>
    <row r="103" spans="1:5" ht="12.6" customHeight="1" x14ac:dyDescent="0.2">
      <c r="A103" s="85">
        <v>93</v>
      </c>
      <c r="B103" s="88"/>
      <c r="C103" s="207" t="s">
        <v>20</v>
      </c>
      <c r="D103" s="79">
        <f>+D10+D15+D58+D74</f>
        <v>7122.2</v>
      </c>
      <c r="E103" s="4"/>
    </row>
    <row r="104" spans="1:5" x14ac:dyDescent="0.2">
      <c r="C104" s="2" t="s">
        <v>146</v>
      </c>
      <c r="D104" s="19"/>
    </row>
    <row r="105" spans="1:5" x14ac:dyDescent="0.2">
      <c r="D105" s="17"/>
    </row>
    <row r="106" spans="1:5" x14ac:dyDescent="0.2">
      <c r="D106" s="19"/>
    </row>
    <row r="107" spans="1:5" x14ac:dyDescent="0.2">
      <c r="D107" s="19"/>
    </row>
    <row r="108" spans="1:5" x14ac:dyDescent="0.2">
      <c r="C108" s="208"/>
      <c r="D108" s="16"/>
    </row>
    <row r="109" spans="1:5" x14ac:dyDescent="0.2">
      <c r="C109" s="208"/>
    </row>
    <row r="110" spans="1:5" x14ac:dyDescent="0.2">
      <c r="C110" s="11"/>
    </row>
  </sheetData>
  <mergeCells count="5">
    <mergeCell ref="C1:D1"/>
    <mergeCell ref="C2:D2"/>
    <mergeCell ref="A5:D5"/>
    <mergeCell ref="A71:A72"/>
    <mergeCell ref="B71:B72"/>
  </mergeCells>
  <pageMargins left="0.70866141732283472" right="0" top="0.78740157480314965" bottom="0" header="0.31496062992125984" footer="0.31496062992125984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71"/>
  <sheetViews>
    <sheetView zoomScaleNormal="100" workbookViewId="0">
      <selection activeCell="D3" sqref="D3"/>
    </sheetView>
  </sheetViews>
  <sheetFormatPr defaultColWidth="9.140625" defaultRowHeight="12.75" x14ac:dyDescent="0.2"/>
  <cols>
    <col min="1" max="1" width="5.85546875" style="2" customWidth="1"/>
    <col min="2" max="2" width="7.42578125" style="13" customWidth="1"/>
    <col min="3" max="3" width="70" style="22" customWidth="1"/>
    <col min="4" max="4" width="9.7109375" style="11" customWidth="1"/>
    <col min="5" max="5" width="4.42578125" style="11" customWidth="1"/>
    <col min="6" max="6" width="11.140625" style="11" customWidth="1"/>
    <col min="7" max="16384" width="9.140625" style="1"/>
  </cols>
  <sheetData>
    <row r="1" spans="1:14" ht="15.75" x14ac:dyDescent="0.25">
      <c r="C1" s="291" t="s">
        <v>210</v>
      </c>
      <c r="D1" s="291"/>
      <c r="E1" s="25"/>
      <c r="F1" s="25"/>
    </row>
    <row r="2" spans="1:14" ht="15.75" x14ac:dyDescent="0.25">
      <c r="C2" s="264" t="s">
        <v>794</v>
      </c>
      <c r="D2" s="264"/>
      <c r="E2" s="25"/>
      <c r="F2" s="25"/>
    </row>
    <row r="3" spans="1:14" ht="15.75" x14ac:dyDescent="0.25">
      <c r="C3" s="33"/>
      <c r="D3" s="14" t="s">
        <v>188</v>
      </c>
      <c r="E3" s="25"/>
      <c r="F3" s="25"/>
    </row>
    <row r="4" spans="1:14" ht="15.75" x14ac:dyDescent="0.25">
      <c r="D4" s="14"/>
      <c r="E4" s="25"/>
      <c r="F4" s="25"/>
    </row>
    <row r="5" spans="1:14" ht="33" customHeight="1" x14ac:dyDescent="0.25">
      <c r="A5" s="297" t="s">
        <v>215</v>
      </c>
      <c r="B5" s="297"/>
      <c r="C5" s="297"/>
      <c r="D5" s="297"/>
      <c r="E5" s="25"/>
      <c r="F5" s="25"/>
    </row>
    <row r="6" spans="1:14" ht="15.75" x14ac:dyDescent="0.25">
      <c r="A6" s="26"/>
      <c r="B6" s="26"/>
      <c r="C6" s="26"/>
      <c r="D6" s="26"/>
      <c r="E6" s="25"/>
      <c r="F6" s="25"/>
    </row>
    <row r="7" spans="1:14" ht="15.75" x14ac:dyDescent="0.25">
      <c r="A7" s="209"/>
      <c r="B7" s="210"/>
      <c r="C7" s="211"/>
      <c r="D7" s="81" t="s">
        <v>71</v>
      </c>
      <c r="E7" s="25"/>
      <c r="F7" s="25"/>
    </row>
    <row r="8" spans="1:14" ht="43.5" customHeight="1" x14ac:dyDescent="0.2">
      <c r="A8" s="63" t="s">
        <v>68</v>
      </c>
      <c r="B8" s="82" t="s">
        <v>186</v>
      </c>
      <c r="C8" s="63" t="s">
        <v>16</v>
      </c>
      <c r="D8" s="63" t="s">
        <v>17</v>
      </c>
      <c r="E8" s="14"/>
      <c r="F8" s="14"/>
    </row>
    <row r="9" spans="1:14" ht="15.75" x14ac:dyDescent="0.2">
      <c r="A9" s="83">
        <v>1</v>
      </c>
      <c r="B9" s="84" t="s">
        <v>18</v>
      </c>
      <c r="C9" s="63">
        <v>3</v>
      </c>
      <c r="D9" s="63">
        <v>4</v>
      </c>
      <c r="E9" s="14"/>
      <c r="F9" s="14"/>
    </row>
    <row r="10" spans="1:14" ht="32.25" customHeight="1" x14ac:dyDescent="0.2">
      <c r="A10" s="85">
        <v>1</v>
      </c>
      <c r="B10" s="84" t="s">
        <v>47</v>
      </c>
      <c r="C10" s="86" t="s">
        <v>48</v>
      </c>
      <c r="D10" s="87">
        <f>+D11+D43</f>
        <v>23050.600000000002</v>
      </c>
      <c r="E10" s="26"/>
      <c r="F10" s="26"/>
      <c r="I10" s="5"/>
    </row>
    <row r="11" spans="1:14" x14ac:dyDescent="0.2">
      <c r="A11" s="85">
        <v>2</v>
      </c>
      <c r="B11" s="199" t="s">
        <v>158</v>
      </c>
      <c r="C11" s="212" t="s">
        <v>151</v>
      </c>
      <c r="D11" s="213">
        <f>+D13+D16+D17+D18+D12+D14+D15+D19+D24+D21+D32+D20+D26+D27+D22+D23+D25+D28+D29+D30+D31+D33+D34+D35+D36+D42+D41</f>
        <v>22368.400000000001</v>
      </c>
      <c r="E11" s="26"/>
      <c r="F11" s="26"/>
    </row>
    <row r="12" spans="1:14" x14ac:dyDescent="0.2">
      <c r="A12" s="85">
        <v>3</v>
      </c>
      <c r="B12" s="88"/>
      <c r="C12" s="67" t="s">
        <v>88</v>
      </c>
      <c r="D12" s="89">
        <f>382.9+27.3+7</f>
        <v>417.2</v>
      </c>
      <c r="E12" s="23"/>
      <c r="F12" s="23"/>
    </row>
    <row r="13" spans="1:14" x14ac:dyDescent="0.2">
      <c r="A13" s="85">
        <v>4</v>
      </c>
      <c r="B13" s="88"/>
      <c r="C13" s="67" t="s">
        <v>79</v>
      </c>
      <c r="D13" s="89">
        <f>440.6+31.8</f>
        <v>472.40000000000003</v>
      </c>
      <c r="E13" s="7"/>
      <c r="F13" s="7"/>
    </row>
    <row r="14" spans="1:14" s="10" customFormat="1" ht="12.75" customHeight="1" x14ac:dyDescent="0.2">
      <c r="A14" s="85">
        <v>5</v>
      </c>
      <c r="B14" s="88"/>
      <c r="C14" s="67" t="s">
        <v>80</v>
      </c>
      <c r="D14" s="89">
        <f>441.2+21.6</f>
        <v>462.8</v>
      </c>
      <c r="E14" s="7"/>
      <c r="F14" s="7"/>
      <c r="G14" s="1"/>
      <c r="H14" s="1"/>
      <c r="I14" s="1"/>
      <c r="J14" s="1"/>
      <c r="K14" s="1"/>
    </row>
    <row r="15" spans="1:14" s="10" customFormat="1" x14ac:dyDescent="0.2">
      <c r="A15" s="85">
        <v>6</v>
      </c>
      <c r="B15" s="88"/>
      <c r="C15" s="67" t="s">
        <v>84</v>
      </c>
      <c r="D15" s="89">
        <f>454.3+39.5+7</f>
        <v>500.8</v>
      </c>
      <c r="E15" s="30"/>
      <c r="F15" s="15"/>
      <c r="G15" s="3"/>
      <c r="H15" s="3"/>
      <c r="I15" s="3"/>
      <c r="J15" s="3"/>
      <c r="K15" s="3"/>
      <c r="L15" s="21"/>
      <c r="M15" s="21"/>
      <c r="N15" s="21"/>
    </row>
    <row r="16" spans="1:14" s="10" customFormat="1" x14ac:dyDescent="0.2">
      <c r="A16" s="85">
        <v>7</v>
      </c>
      <c r="B16" s="88"/>
      <c r="C16" s="67" t="s">
        <v>81</v>
      </c>
      <c r="D16" s="89">
        <f>510.3+29.6</f>
        <v>539.9</v>
      </c>
      <c r="E16" s="27"/>
      <c r="F16" s="27"/>
      <c r="G16" s="3"/>
      <c r="H16" s="3"/>
      <c r="I16" s="3"/>
      <c r="J16" s="3"/>
      <c r="K16" s="3"/>
      <c r="L16" s="21"/>
      <c r="M16" s="21"/>
      <c r="N16" s="21"/>
    </row>
    <row r="17" spans="1:14" ht="12.6" customHeight="1" x14ac:dyDescent="0.2">
      <c r="A17" s="85">
        <v>8</v>
      </c>
      <c r="B17" s="88"/>
      <c r="C17" s="67" t="s">
        <v>82</v>
      </c>
      <c r="D17" s="89">
        <f>494.9+19.9</f>
        <v>514.79999999999995</v>
      </c>
      <c r="E17" s="16"/>
      <c r="F17" s="16"/>
      <c r="G17" s="16"/>
      <c r="H17" s="16"/>
      <c r="I17" s="3"/>
      <c r="J17" s="3"/>
      <c r="K17" s="3"/>
      <c r="L17" s="3"/>
      <c r="M17" s="3"/>
      <c r="N17" s="3"/>
    </row>
    <row r="18" spans="1:14" ht="12.6" customHeight="1" x14ac:dyDescent="0.2">
      <c r="A18" s="85">
        <v>9</v>
      </c>
      <c r="B18" s="88"/>
      <c r="C18" s="67" t="s">
        <v>83</v>
      </c>
      <c r="D18" s="89">
        <f>490.6+22.2</f>
        <v>512.80000000000007</v>
      </c>
      <c r="E18" s="16"/>
      <c r="F18" s="16"/>
      <c r="G18" s="16"/>
      <c r="H18" s="16"/>
      <c r="I18" s="3"/>
      <c r="J18" s="3"/>
      <c r="K18" s="3"/>
      <c r="L18" s="3"/>
      <c r="M18" s="3"/>
      <c r="N18" s="3"/>
    </row>
    <row r="19" spans="1:14" ht="12.6" customHeight="1" x14ac:dyDescent="0.2">
      <c r="A19" s="85">
        <v>10</v>
      </c>
      <c r="B19" s="90"/>
      <c r="C19" s="70" t="s">
        <v>95</v>
      </c>
      <c r="D19" s="89">
        <f>534+62.6</f>
        <v>596.6</v>
      </c>
      <c r="E19" s="16"/>
      <c r="F19" s="16"/>
      <c r="G19" s="16"/>
      <c r="H19" s="16"/>
      <c r="I19" s="3"/>
      <c r="J19" s="3"/>
      <c r="K19" s="3"/>
      <c r="L19" s="3"/>
      <c r="M19" s="3"/>
      <c r="N19" s="3"/>
    </row>
    <row r="20" spans="1:14" ht="12.6" customHeight="1" x14ac:dyDescent="0.2">
      <c r="A20" s="85">
        <v>11</v>
      </c>
      <c r="B20" s="90"/>
      <c r="C20" s="67" t="s">
        <v>87</v>
      </c>
      <c r="D20" s="89">
        <f>1364+159.4</f>
        <v>1523.4</v>
      </c>
      <c r="E20" s="16"/>
      <c r="F20" s="16"/>
      <c r="G20" s="16"/>
      <c r="H20" s="16"/>
      <c r="I20" s="3"/>
      <c r="J20" s="3"/>
      <c r="K20" s="3"/>
      <c r="L20" s="3"/>
      <c r="M20" s="3"/>
      <c r="N20" s="3"/>
    </row>
    <row r="21" spans="1:14" ht="12.6" customHeight="1" x14ac:dyDescent="0.2">
      <c r="A21" s="85">
        <v>12</v>
      </c>
      <c r="B21" s="90"/>
      <c r="C21" s="67" t="s">
        <v>38</v>
      </c>
      <c r="D21" s="89">
        <f>1448.6+130.2</f>
        <v>1578.8</v>
      </c>
      <c r="E21" s="16"/>
      <c r="F21" s="16"/>
      <c r="G21" s="16"/>
      <c r="H21" s="16"/>
      <c r="I21" s="3"/>
      <c r="J21" s="3"/>
      <c r="K21" s="3"/>
      <c r="L21" s="3"/>
      <c r="M21" s="3"/>
      <c r="N21" s="3"/>
    </row>
    <row r="22" spans="1:14" ht="12.6" customHeight="1" x14ac:dyDescent="0.2">
      <c r="A22" s="85">
        <v>13</v>
      </c>
      <c r="B22" s="90"/>
      <c r="C22" s="71" t="s">
        <v>73</v>
      </c>
      <c r="D22" s="89">
        <f>1632.4+118.3</f>
        <v>1750.7</v>
      </c>
      <c r="E22" s="16"/>
      <c r="F22" s="16"/>
      <c r="G22" s="16"/>
      <c r="H22" s="16"/>
      <c r="I22" s="3"/>
      <c r="J22" s="3"/>
      <c r="K22" s="3"/>
      <c r="M22" s="3"/>
      <c r="N22" s="3"/>
    </row>
    <row r="23" spans="1:14" ht="12.6" customHeight="1" x14ac:dyDescent="0.2">
      <c r="A23" s="85">
        <v>14</v>
      </c>
      <c r="B23" s="90"/>
      <c r="C23" s="71" t="s">
        <v>74</v>
      </c>
      <c r="D23" s="89">
        <f>972.8+69.7</f>
        <v>1042.5</v>
      </c>
      <c r="E23" s="16"/>
      <c r="F23" s="16"/>
      <c r="G23" s="16"/>
      <c r="H23" s="16"/>
      <c r="I23" s="3"/>
      <c r="J23" s="3"/>
      <c r="K23" s="8"/>
      <c r="M23" s="3"/>
      <c r="N23" s="3"/>
    </row>
    <row r="24" spans="1:14" ht="12.6" customHeight="1" x14ac:dyDescent="0.2">
      <c r="A24" s="85">
        <v>15</v>
      </c>
      <c r="B24" s="90"/>
      <c r="C24" s="71" t="s">
        <v>32</v>
      </c>
      <c r="D24" s="89">
        <f>1036.1+67.6+10</f>
        <v>1113.6999999999998</v>
      </c>
      <c r="E24" s="16"/>
      <c r="F24" s="16"/>
      <c r="G24" s="16"/>
      <c r="H24" s="16"/>
      <c r="I24" s="3"/>
      <c r="J24" s="3"/>
      <c r="K24" s="3"/>
      <c r="M24" s="3"/>
      <c r="N24" s="3"/>
    </row>
    <row r="25" spans="1:14" ht="12.6" customHeight="1" x14ac:dyDescent="0.2">
      <c r="A25" s="85">
        <v>16</v>
      </c>
      <c r="B25" s="90"/>
      <c r="C25" s="67" t="s">
        <v>76</v>
      </c>
      <c r="D25" s="89">
        <f>921.4+83.3</f>
        <v>1004.6999999999999</v>
      </c>
      <c r="E25" s="16"/>
      <c r="F25" s="16"/>
      <c r="G25" s="16"/>
      <c r="H25" s="16"/>
      <c r="I25" s="3"/>
      <c r="J25" s="3"/>
      <c r="K25" s="3"/>
      <c r="L25" s="3"/>
      <c r="M25" s="3"/>
      <c r="N25" s="3"/>
    </row>
    <row r="26" spans="1:14" ht="12.6" customHeight="1" x14ac:dyDescent="0.2">
      <c r="A26" s="85">
        <v>17</v>
      </c>
      <c r="B26" s="90"/>
      <c r="C26" s="71" t="s">
        <v>85</v>
      </c>
      <c r="D26" s="89">
        <f>2132.3+181.3</f>
        <v>2313.6000000000004</v>
      </c>
      <c r="E26" s="16"/>
      <c r="F26" s="16"/>
      <c r="G26" s="16"/>
      <c r="H26" s="16"/>
      <c r="I26" s="3"/>
      <c r="J26" s="3"/>
      <c r="K26" s="3"/>
      <c r="L26" s="3"/>
      <c r="M26" s="3"/>
      <c r="N26" s="3"/>
    </row>
    <row r="27" spans="1:14" ht="12.6" customHeight="1" x14ac:dyDescent="0.2">
      <c r="A27" s="85">
        <v>18</v>
      </c>
      <c r="B27" s="90"/>
      <c r="C27" s="67" t="s">
        <v>86</v>
      </c>
      <c r="D27" s="89">
        <f>2063.6+169.7</f>
        <v>2233.2999999999997</v>
      </c>
      <c r="E27" s="16"/>
      <c r="F27" s="16"/>
      <c r="G27" s="16"/>
      <c r="H27" s="16"/>
      <c r="I27" s="3"/>
      <c r="J27" s="3"/>
      <c r="K27" s="3"/>
      <c r="L27" s="3"/>
      <c r="M27" s="3"/>
      <c r="N27" s="3"/>
    </row>
    <row r="28" spans="1:14" ht="12.6" customHeight="1" x14ac:dyDescent="0.2">
      <c r="A28" s="85">
        <v>19</v>
      </c>
      <c r="B28" s="90"/>
      <c r="C28" s="71" t="s">
        <v>539</v>
      </c>
      <c r="D28" s="89">
        <f>1553.9+122.7</f>
        <v>1676.6000000000001</v>
      </c>
      <c r="E28" s="16"/>
      <c r="F28" s="16"/>
      <c r="G28" s="16"/>
      <c r="H28" s="16"/>
      <c r="I28" s="3"/>
      <c r="J28" s="3"/>
      <c r="K28" s="3"/>
      <c r="L28" s="3"/>
      <c r="M28" s="3"/>
      <c r="N28" s="3"/>
    </row>
    <row r="29" spans="1:14" ht="12.6" customHeight="1" x14ac:dyDescent="0.2">
      <c r="A29" s="85">
        <v>20</v>
      </c>
      <c r="B29" s="90"/>
      <c r="C29" s="71" t="s">
        <v>33</v>
      </c>
      <c r="D29" s="89">
        <f>520.2+40.7</f>
        <v>560.90000000000009</v>
      </c>
      <c r="E29" s="16"/>
      <c r="F29" s="16"/>
      <c r="G29" s="16"/>
      <c r="H29" s="16"/>
      <c r="I29" s="3"/>
      <c r="J29" s="3"/>
      <c r="K29" s="3"/>
      <c r="L29" s="3"/>
      <c r="M29" s="3"/>
      <c r="N29" s="3"/>
    </row>
    <row r="30" spans="1:14" ht="12.6" customHeight="1" x14ac:dyDescent="0.2">
      <c r="A30" s="85">
        <v>21</v>
      </c>
      <c r="B30" s="90"/>
      <c r="C30" s="71" t="s">
        <v>75</v>
      </c>
      <c r="D30" s="89">
        <f>1022.7+82.9+7.9</f>
        <v>1113.5000000000002</v>
      </c>
      <c r="E30" s="16"/>
      <c r="F30" s="16"/>
      <c r="G30" s="16"/>
      <c r="H30" s="16"/>
      <c r="I30" s="3"/>
      <c r="J30" s="3"/>
      <c r="K30" s="3"/>
      <c r="L30" s="3"/>
      <c r="M30" s="3"/>
      <c r="N30" s="3"/>
    </row>
    <row r="31" spans="1:14" ht="12.6" customHeight="1" x14ac:dyDescent="0.2">
      <c r="A31" s="85">
        <v>22</v>
      </c>
      <c r="B31" s="214"/>
      <c r="C31" s="71" t="s">
        <v>34</v>
      </c>
      <c r="D31" s="89">
        <f>413.3+21.7</f>
        <v>435</v>
      </c>
      <c r="E31" s="16"/>
      <c r="F31" s="16"/>
      <c r="G31" s="16"/>
      <c r="H31" s="16"/>
      <c r="I31" s="3"/>
      <c r="J31" s="3"/>
      <c r="K31" s="3"/>
      <c r="L31" s="3"/>
      <c r="M31" s="3"/>
      <c r="N31" s="3"/>
    </row>
    <row r="32" spans="1:14" ht="12.6" customHeight="1" x14ac:dyDescent="0.2">
      <c r="A32" s="85">
        <v>23</v>
      </c>
      <c r="B32" s="90"/>
      <c r="C32" s="71" t="s">
        <v>64</v>
      </c>
      <c r="D32" s="89">
        <f>296.7-4.3</f>
        <v>292.39999999999998</v>
      </c>
      <c r="E32" s="16"/>
      <c r="F32" s="16"/>
      <c r="G32" s="16"/>
      <c r="H32" s="16"/>
      <c r="I32" s="3"/>
      <c r="J32" s="3"/>
      <c r="K32" s="3"/>
      <c r="L32" s="3"/>
      <c r="M32" s="3"/>
      <c r="N32" s="3"/>
    </row>
    <row r="33" spans="1:14" ht="12.6" customHeight="1" x14ac:dyDescent="0.2">
      <c r="A33" s="85">
        <v>24</v>
      </c>
      <c r="B33" s="90"/>
      <c r="C33" s="67" t="s">
        <v>185</v>
      </c>
      <c r="D33" s="89">
        <f>816.9+79.1</f>
        <v>896</v>
      </c>
      <c r="E33" s="16"/>
      <c r="F33" s="16"/>
      <c r="G33" s="16"/>
      <c r="H33" s="16"/>
      <c r="I33" s="3"/>
      <c r="J33" s="3"/>
      <c r="K33" s="3"/>
      <c r="L33" s="3"/>
      <c r="M33" s="3"/>
      <c r="N33" s="3"/>
    </row>
    <row r="34" spans="1:14" ht="12.6" customHeight="1" x14ac:dyDescent="0.2">
      <c r="A34" s="85">
        <v>25</v>
      </c>
      <c r="B34" s="88"/>
      <c r="C34" s="67" t="s">
        <v>46</v>
      </c>
      <c r="D34" s="89">
        <f>26.9+0.1</f>
        <v>27</v>
      </c>
      <c r="E34" s="16"/>
      <c r="F34" s="16"/>
      <c r="G34" s="16"/>
      <c r="H34" s="16"/>
      <c r="I34" s="3"/>
      <c r="J34" s="3"/>
      <c r="K34" s="3"/>
      <c r="L34" s="3"/>
      <c r="M34" s="3"/>
      <c r="N34" s="3"/>
    </row>
    <row r="35" spans="1:14" ht="12.6" customHeight="1" x14ac:dyDescent="0.2">
      <c r="A35" s="85">
        <v>26</v>
      </c>
      <c r="B35" s="88"/>
      <c r="C35" s="67" t="s">
        <v>40</v>
      </c>
      <c r="D35" s="89">
        <f>29.5+1.7</f>
        <v>31.2</v>
      </c>
      <c r="E35" s="16"/>
      <c r="F35" s="16"/>
      <c r="G35" s="16"/>
      <c r="H35" s="16"/>
      <c r="I35" s="3"/>
      <c r="J35" s="3"/>
      <c r="K35" s="3"/>
      <c r="L35" s="3"/>
      <c r="M35" s="3"/>
      <c r="N35" s="3"/>
    </row>
    <row r="36" spans="1:14" ht="12.6" customHeight="1" x14ac:dyDescent="0.2">
      <c r="A36" s="85">
        <v>27</v>
      </c>
      <c r="B36" s="88"/>
      <c r="C36" s="67" t="s">
        <v>152</v>
      </c>
      <c r="D36" s="89">
        <f>+D37+D38+D39+D40</f>
        <v>455.79999999999995</v>
      </c>
      <c r="E36" s="16"/>
      <c r="F36" s="16"/>
      <c r="G36" s="16"/>
      <c r="H36" s="16"/>
      <c r="I36" s="3"/>
      <c r="J36" s="3"/>
      <c r="K36" s="3"/>
      <c r="L36" s="3"/>
      <c r="M36" s="3"/>
      <c r="N36" s="3"/>
    </row>
    <row r="37" spans="1:14" ht="12.6" customHeight="1" x14ac:dyDescent="0.2">
      <c r="A37" s="215" t="s">
        <v>216</v>
      </c>
      <c r="B37" s="216"/>
      <c r="C37" s="71" t="s">
        <v>182</v>
      </c>
      <c r="D37" s="89">
        <f>252.5+11-31.9</f>
        <v>231.6</v>
      </c>
      <c r="E37" s="16"/>
      <c r="F37" s="16"/>
      <c r="G37" s="16"/>
      <c r="H37" s="16"/>
      <c r="I37" s="3"/>
      <c r="J37" s="3"/>
      <c r="K37" s="3"/>
      <c r="L37" s="3"/>
      <c r="M37" s="3"/>
      <c r="N37" s="3"/>
    </row>
    <row r="38" spans="1:14" x14ac:dyDescent="0.2">
      <c r="A38" s="215" t="s">
        <v>217</v>
      </c>
      <c r="B38" s="216"/>
      <c r="C38" s="71" t="s">
        <v>181</v>
      </c>
      <c r="D38" s="89">
        <f>13.8+1.3</f>
        <v>15.100000000000001</v>
      </c>
      <c r="E38" s="16"/>
      <c r="F38" s="16"/>
      <c r="G38" s="16"/>
      <c r="H38" s="16"/>
      <c r="I38" s="3"/>
      <c r="J38" s="3"/>
      <c r="K38" s="3"/>
      <c r="L38" s="3"/>
      <c r="M38" s="3"/>
      <c r="N38" s="3"/>
    </row>
    <row r="39" spans="1:14" ht="12.6" customHeight="1" x14ac:dyDescent="0.2">
      <c r="A39" s="215" t="s">
        <v>218</v>
      </c>
      <c r="B39" s="216"/>
      <c r="C39" s="71" t="s">
        <v>183</v>
      </c>
      <c r="D39" s="89">
        <f>138.2-1.2</f>
        <v>137</v>
      </c>
      <c r="E39" s="16"/>
      <c r="F39" s="16"/>
      <c r="G39" s="16"/>
      <c r="H39" s="16"/>
      <c r="I39" s="3"/>
      <c r="J39" s="3"/>
      <c r="K39" s="3"/>
      <c r="L39" s="3"/>
      <c r="M39" s="3"/>
      <c r="N39" s="3"/>
    </row>
    <row r="40" spans="1:14" ht="12.6" customHeight="1" x14ac:dyDescent="0.2">
      <c r="A40" s="215" t="s">
        <v>219</v>
      </c>
      <c r="B40" s="217"/>
      <c r="C40" s="71" t="s">
        <v>184</v>
      </c>
      <c r="D40" s="89">
        <f>49.9+22.2</f>
        <v>72.099999999999994</v>
      </c>
      <c r="E40" s="16"/>
      <c r="F40" s="16"/>
      <c r="G40" s="16"/>
      <c r="H40" s="16"/>
      <c r="I40" s="3"/>
      <c r="J40" s="3"/>
      <c r="K40" s="3"/>
      <c r="L40" s="3"/>
      <c r="M40" s="3"/>
      <c r="N40" s="3"/>
    </row>
    <row r="41" spans="1:14" ht="12.6" customHeight="1" x14ac:dyDescent="0.2">
      <c r="A41" s="85">
        <v>28</v>
      </c>
      <c r="B41" s="88"/>
      <c r="C41" s="218" t="s">
        <v>15</v>
      </c>
      <c r="D41" s="89">
        <f>162.9+2</f>
        <v>164.9</v>
      </c>
      <c r="F41" s="16"/>
      <c r="G41" s="16"/>
      <c r="H41" s="16"/>
      <c r="I41" s="3"/>
      <c r="J41" s="3"/>
      <c r="K41" s="3"/>
      <c r="L41" s="3"/>
      <c r="M41" s="3"/>
      <c r="N41" s="3"/>
    </row>
    <row r="42" spans="1:14" ht="24.95" customHeight="1" x14ac:dyDescent="0.2">
      <c r="A42" s="85">
        <v>29</v>
      </c>
      <c r="B42" s="88"/>
      <c r="C42" s="218" t="s">
        <v>153</v>
      </c>
      <c r="D42" s="89">
        <f>129.6+7.5</f>
        <v>137.1</v>
      </c>
      <c r="E42" s="16"/>
      <c r="F42" s="16"/>
      <c r="G42" s="16"/>
      <c r="H42" s="16"/>
      <c r="I42" s="3"/>
      <c r="J42" s="3"/>
      <c r="K42" s="3"/>
      <c r="L42" s="3"/>
      <c r="M42" s="3"/>
      <c r="N42" s="3"/>
    </row>
    <row r="43" spans="1:14" ht="12.6" customHeight="1" x14ac:dyDescent="0.2">
      <c r="A43" s="85">
        <v>30</v>
      </c>
      <c r="B43" s="199" t="s">
        <v>159</v>
      </c>
      <c r="C43" s="212" t="s">
        <v>98</v>
      </c>
      <c r="D43" s="201">
        <f>+D44</f>
        <v>682.2</v>
      </c>
      <c r="E43" s="16"/>
      <c r="F43" s="16"/>
      <c r="G43" s="16"/>
      <c r="H43" s="16"/>
      <c r="I43" s="3"/>
      <c r="J43" s="3"/>
      <c r="K43" s="3"/>
      <c r="L43" s="3"/>
      <c r="M43" s="3"/>
      <c r="N43" s="3"/>
    </row>
    <row r="44" spans="1:14" ht="12.6" customHeight="1" x14ac:dyDescent="0.2">
      <c r="A44" s="85">
        <v>31</v>
      </c>
      <c r="B44" s="88"/>
      <c r="C44" s="67" t="s">
        <v>185</v>
      </c>
      <c r="D44" s="219">
        <v>682.2</v>
      </c>
      <c r="E44" s="16"/>
      <c r="F44" s="16"/>
      <c r="G44" s="16"/>
      <c r="H44" s="16"/>
      <c r="I44" s="3"/>
      <c r="J44" s="3"/>
      <c r="K44" s="3"/>
      <c r="L44" s="3"/>
      <c r="M44" s="3"/>
      <c r="N44" s="3"/>
    </row>
    <row r="45" spans="1:14" ht="12.6" customHeight="1" x14ac:dyDescent="0.2">
      <c r="A45" s="85">
        <v>32</v>
      </c>
      <c r="B45" s="84" t="s">
        <v>51</v>
      </c>
      <c r="C45" s="98" t="s">
        <v>97</v>
      </c>
      <c r="D45" s="177">
        <f>+D46</f>
        <v>63.5</v>
      </c>
      <c r="E45" s="16"/>
      <c r="F45" s="16"/>
      <c r="G45" s="16"/>
      <c r="H45" s="16"/>
      <c r="I45" s="3"/>
      <c r="J45" s="3"/>
      <c r="K45" s="3"/>
      <c r="L45" s="3"/>
      <c r="M45" s="3"/>
      <c r="N45" s="3"/>
    </row>
    <row r="46" spans="1:14" ht="12.6" customHeight="1" x14ac:dyDescent="0.2">
      <c r="A46" s="85">
        <v>33</v>
      </c>
      <c r="B46" s="199" t="s">
        <v>161</v>
      </c>
      <c r="C46" s="212" t="s">
        <v>151</v>
      </c>
      <c r="D46" s="213">
        <f>+D47</f>
        <v>63.5</v>
      </c>
      <c r="E46" s="16"/>
      <c r="F46" s="16"/>
      <c r="G46" s="16"/>
      <c r="H46" s="16"/>
      <c r="I46" s="3"/>
      <c r="J46" s="3"/>
      <c r="K46" s="3"/>
      <c r="L46" s="3"/>
      <c r="M46" s="3"/>
      <c r="N46" s="3"/>
    </row>
    <row r="47" spans="1:14" ht="12.6" customHeight="1" x14ac:dyDescent="0.2">
      <c r="A47" s="85">
        <v>34</v>
      </c>
      <c r="B47" s="97"/>
      <c r="C47" s="67" t="s">
        <v>65</v>
      </c>
      <c r="D47" s="89">
        <f>59.6+3.9</f>
        <v>63.5</v>
      </c>
      <c r="E47" s="16"/>
      <c r="F47" s="16"/>
      <c r="G47" s="16"/>
      <c r="H47" s="16"/>
      <c r="I47" s="3"/>
      <c r="J47" s="3"/>
      <c r="K47" s="3"/>
      <c r="L47" s="3"/>
      <c r="M47" s="3"/>
      <c r="N47" s="3"/>
    </row>
    <row r="48" spans="1:14" ht="12.6" customHeight="1" x14ac:dyDescent="0.2">
      <c r="A48" s="85">
        <v>35</v>
      </c>
      <c r="B48" s="84"/>
      <c r="C48" s="189" t="s">
        <v>20</v>
      </c>
      <c r="D48" s="79">
        <f>+D10+D45</f>
        <v>23114.100000000002</v>
      </c>
      <c r="E48" s="18"/>
      <c r="F48" s="16"/>
      <c r="G48" s="16"/>
      <c r="H48" s="16"/>
      <c r="I48" s="3"/>
      <c r="J48" s="3"/>
      <c r="K48" s="3"/>
      <c r="L48" s="3"/>
      <c r="M48" s="3"/>
      <c r="N48" s="3"/>
    </row>
    <row r="49" spans="1:14" x14ac:dyDescent="0.2">
      <c r="A49" s="11"/>
      <c r="B49" s="220"/>
      <c r="C49" s="221"/>
      <c r="D49" s="222"/>
      <c r="E49" s="28"/>
      <c r="F49" s="16"/>
      <c r="G49" s="3"/>
      <c r="H49" s="3"/>
      <c r="I49" s="3"/>
      <c r="J49" s="3"/>
      <c r="K49" s="3"/>
      <c r="L49" s="3"/>
      <c r="M49" s="3"/>
      <c r="N49" s="3"/>
    </row>
    <row r="50" spans="1:14" ht="12.6" customHeight="1" x14ac:dyDescent="0.2">
      <c r="C50" s="22" t="s">
        <v>66</v>
      </c>
      <c r="D50" s="19"/>
      <c r="E50" s="16"/>
      <c r="F50" s="16"/>
      <c r="G50" s="16"/>
      <c r="H50" s="16"/>
      <c r="I50" s="3"/>
      <c r="J50" s="3"/>
      <c r="K50" s="3"/>
      <c r="L50" s="3"/>
      <c r="M50" s="3"/>
      <c r="N50" s="3"/>
    </row>
    <row r="51" spans="1:14" ht="18" customHeight="1" x14ac:dyDescent="0.2">
      <c r="D51" s="19"/>
      <c r="E51" s="29"/>
      <c r="F51" s="16"/>
      <c r="G51" s="3"/>
      <c r="H51" s="3"/>
      <c r="I51" s="3"/>
      <c r="J51" s="3"/>
      <c r="K51" s="3"/>
      <c r="L51" s="3"/>
      <c r="M51" s="3"/>
      <c r="N51" s="3"/>
    </row>
    <row r="52" spans="1:14" ht="12.6" customHeight="1" x14ac:dyDescent="0.2">
      <c r="D52" s="19"/>
      <c r="E52" s="27"/>
      <c r="F52" s="16"/>
      <c r="G52" s="3"/>
      <c r="H52" s="3"/>
      <c r="I52" s="3"/>
      <c r="J52" s="3"/>
      <c r="K52" s="3"/>
      <c r="L52" s="3"/>
      <c r="M52" s="3"/>
      <c r="N52" s="3"/>
    </row>
    <row r="53" spans="1:14" ht="12.6" customHeight="1" x14ac:dyDescent="0.2">
      <c r="D53" s="19"/>
      <c r="E53" s="16"/>
      <c r="F53" s="16"/>
      <c r="G53" s="16"/>
      <c r="H53" s="16"/>
      <c r="I53" s="3"/>
      <c r="J53" s="3"/>
      <c r="K53" s="3"/>
      <c r="L53" s="3"/>
      <c r="M53" s="3"/>
      <c r="N53" s="3"/>
    </row>
    <row r="54" spans="1:14" ht="12.75" customHeight="1" x14ac:dyDescent="0.2">
      <c r="D54" s="6"/>
      <c r="E54" s="9"/>
      <c r="F54" s="9"/>
      <c r="G54" s="3"/>
      <c r="H54" s="3"/>
      <c r="I54" s="3"/>
      <c r="J54" s="3"/>
      <c r="K54" s="3"/>
      <c r="L54" s="3"/>
      <c r="M54" s="3"/>
      <c r="N54" s="3"/>
    </row>
    <row r="55" spans="1:14" ht="12.75" customHeight="1" x14ac:dyDescent="0.2">
      <c r="D55" s="17"/>
      <c r="E55" s="9"/>
      <c r="F55" s="9"/>
      <c r="G55" s="3"/>
      <c r="H55" s="3"/>
      <c r="I55" s="3"/>
      <c r="J55" s="3"/>
      <c r="K55" s="3"/>
      <c r="L55" s="3"/>
      <c r="M55" s="3"/>
      <c r="N55" s="3"/>
    </row>
    <row r="56" spans="1:14" x14ac:dyDescent="0.2">
      <c r="D56" s="17"/>
      <c r="E56" s="19"/>
      <c r="F56" s="19"/>
    </row>
    <row r="57" spans="1:14" x14ac:dyDescent="0.2">
      <c r="D57" s="17"/>
      <c r="E57" s="19"/>
      <c r="F57" s="19"/>
    </row>
    <row r="58" spans="1:14" x14ac:dyDescent="0.2">
      <c r="C58" s="2"/>
      <c r="D58" s="19"/>
      <c r="E58" s="19"/>
      <c r="F58" s="19"/>
    </row>
    <row r="59" spans="1:14" x14ac:dyDescent="0.2">
      <c r="D59" s="2"/>
      <c r="E59" s="19"/>
      <c r="F59" s="19"/>
    </row>
    <row r="60" spans="1:14" x14ac:dyDescent="0.2">
      <c r="C60" s="24"/>
      <c r="D60" s="17"/>
      <c r="E60" s="17"/>
      <c r="F60" s="17"/>
    </row>
    <row r="61" spans="1:14" x14ac:dyDescent="0.2">
      <c r="D61" s="17"/>
      <c r="E61" s="17"/>
      <c r="F61" s="17"/>
    </row>
    <row r="62" spans="1:14" x14ac:dyDescent="0.2">
      <c r="D62" s="2"/>
      <c r="E62" s="17"/>
      <c r="F62" s="17"/>
    </row>
    <row r="63" spans="1:14" x14ac:dyDescent="0.2">
      <c r="D63" s="17"/>
      <c r="E63" s="17"/>
      <c r="F63" s="17"/>
      <c r="G63" s="17"/>
      <c r="H63" s="17"/>
      <c r="I63" s="17"/>
      <c r="J63" s="17"/>
    </row>
    <row r="64" spans="1:14" x14ac:dyDescent="0.2">
      <c r="D64" s="2"/>
      <c r="E64" s="19"/>
      <c r="F64" s="19"/>
    </row>
    <row r="65" spans="4:6" x14ac:dyDescent="0.2">
      <c r="D65" s="2"/>
      <c r="E65" s="2"/>
      <c r="F65" s="2"/>
    </row>
    <row r="66" spans="4:6" x14ac:dyDescent="0.2">
      <c r="E66" s="17"/>
      <c r="F66" s="17"/>
    </row>
    <row r="67" spans="4:6" x14ac:dyDescent="0.2">
      <c r="E67" s="17"/>
      <c r="F67" s="17"/>
    </row>
    <row r="68" spans="4:6" x14ac:dyDescent="0.2">
      <c r="E68" s="2"/>
      <c r="F68" s="2"/>
    </row>
    <row r="69" spans="4:6" x14ac:dyDescent="0.2">
      <c r="E69" s="17"/>
      <c r="F69" s="17"/>
    </row>
    <row r="70" spans="4:6" x14ac:dyDescent="0.2">
      <c r="E70" s="2"/>
      <c r="F70" s="2"/>
    </row>
    <row r="71" spans="4:6" x14ac:dyDescent="0.2">
      <c r="E71" s="2"/>
      <c r="F71" s="2"/>
    </row>
  </sheetData>
  <mergeCells count="3">
    <mergeCell ref="C1:D1"/>
    <mergeCell ref="C2:D2"/>
    <mergeCell ref="A5:D5"/>
  </mergeCells>
  <phoneticPr fontId="13" type="noConversion"/>
  <pageMargins left="0.59055118110236227" right="0" top="0.78740157480314965" bottom="0.19685039370078741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12</vt:i4>
      </vt:variant>
      <vt:variant>
        <vt:lpstr>Įvardytieji diapazonai</vt:lpstr>
      </vt:variant>
      <vt:variant>
        <vt:i4>21</vt:i4>
      </vt:variant>
    </vt:vector>
  </HeadingPairs>
  <TitlesOfParts>
    <vt:vector size="33" baseType="lpstr">
      <vt:lpstr>1 pr</vt:lpstr>
      <vt:lpstr>2 pr</vt:lpstr>
      <vt:lpstr>3 pr</vt:lpstr>
      <vt:lpstr>4 pr</vt:lpstr>
      <vt:lpstr>5 pr</vt:lpstr>
      <vt:lpstr>6 pr</vt:lpstr>
      <vt:lpstr>7 pr</vt:lpstr>
      <vt:lpstr>8 pr</vt:lpstr>
      <vt:lpstr>9 pr</vt:lpstr>
      <vt:lpstr>10 pr</vt:lpstr>
      <vt:lpstr>11 pr</vt:lpstr>
      <vt:lpstr>13 pr</vt:lpstr>
      <vt:lpstr>'1 pr'!Print_Area</vt:lpstr>
      <vt:lpstr>'10 pr'!Print_Area</vt:lpstr>
      <vt:lpstr>'11 pr'!Print_Area</vt:lpstr>
      <vt:lpstr>'13 pr'!Print_Area</vt:lpstr>
      <vt:lpstr>'2 pr'!Print_Area</vt:lpstr>
      <vt:lpstr>'3 pr'!Print_Area</vt:lpstr>
      <vt:lpstr>'4 pr'!Print_Area</vt:lpstr>
      <vt:lpstr>'5 pr'!Print_Area</vt:lpstr>
      <vt:lpstr>'6 pr'!Print_Area</vt:lpstr>
      <vt:lpstr>'7 pr'!Print_Area</vt:lpstr>
      <vt:lpstr>'8 pr'!Print_Area</vt:lpstr>
      <vt:lpstr>'9 pr'!Print_Area</vt:lpstr>
      <vt:lpstr>'1 pr'!Print_Titles</vt:lpstr>
      <vt:lpstr>'10 pr'!Print_Titles</vt:lpstr>
      <vt:lpstr>'2 pr'!Print_Titles</vt:lpstr>
      <vt:lpstr>'3 pr'!Print_Titles</vt:lpstr>
      <vt:lpstr>'4 pr'!Print_Titles</vt:lpstr>
      <vt:lpstr>'5 pr'!Print_Titles</vt:lpstr>
      <vt:lpstr>'6 pr'!Print_Titles</vt:lpstr>
      <vt:lpstr>'8 pr'!Print_Titles</vt:lpstr>
      <vt:lpstr>'9 pr'!Print_Titles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V.Sirvaitiene</dc:creator>
  <cp:lastModifiedBy>A107C6109FBE9@outlook.com</cp:lastModifiedBy>
  <cp:lastPrinted>2024-11-15T07:40:13Z</cp:lastPrinted>
  <dcterms:created xsi:type="dcterms:W3CDTF">1996-10-14T23:33:28Z</dcterms:created>
  <dcterms:modified xsi:type="dcterms:W3CDTF">2024-11-15T11:41:25Z</dcterms:modified>
</cp:coreProperties>
</file>