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16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6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0.xml" ContentType="application/vnd.ms-excel.person+xml"/>
  <Override PartName="/xl/persons/person15.xml" ContentType="application/vnd.ms-excel.person+xml"/>
  <Override PartName="/xl/persons/person12.xml" ContentType="application/vnd.ms-excel.person+xml"/>
  <Override PartName="/xl/persons/person1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D:\KRS\8 Tarybos posėdis\SP-364\"/>
    </mc:Choice>
  </mc:AlternateContent>
  <xr:revisionPtr revIDLastSave="0" documentId="8_{BC38760C-6384-4A87-85D1-9EF999442992}" xr6:coauthVersionLast="47" xr6:coauthVersionMax="47" xr10:uidLastSave="{00000000-0000-0000-0000-000000000000}"/>
  <bookViews>
    <workbookView xWindow="1560" yWindow="1275" windowWidth="12690" windowHeight="14925" xr2:uid="{00000000-000D-0000-FFFF-FFFF00000000}"/>
  </bookViews>
  <sheets>
    <sheet name="2023-12-22" sheetId="158" r:id="rId1"/>
    <sheet name="Paaišk 2023-12-22" sheetId="159" r:id="rId2"/>
  </sheets>
  <definedNames>
    <definedName name="_xlnm.Print_Area" localSheetId="0">'2023-12-22'!$A$1:$E$76</definedName>
    <definedName name="_xlnm.Print_Area" localSheetId="1">'Paaišk 2023-12-22'!$A$1:$I$28</definedName>
    <definedName name="_xlnm.Print_Titles" localSheetId="0">'2023-12-22'!$15:$15</definedName>
    <definedName name="_xlnm.Print_Titles" localSheetId="1">'Paaišk 2023-12-22'!$10:$10</definedName>
  </definedNames>
  <calcPr calcId="191029"/>
</workbook>
</file>

<file path=xl/calcChain.xml><?xml version="1.0" encoding="utf-8"?>
<calcChain xmlns="http://schemas.openxmlformats.org/spreadsheetml/2006/main">
  <c r="H23" i="159" l="1"/>
  <c r="F12" i="159"/>
  <c r="F13" i="159"/>
  <c r="F14" i="159"/>
  <c r="F15" i="159"/>
  <c r="F16" i="159"/>
  <c r="F17" i="159"/>
  <c r="F18" i="159"/>
  <c r="F19" i="159"/>
  <c r="F21" i="159"/>
  <c r="F22" i="159"/>
  <c r="F11" i="159"/>
  <c r="C72" i="158"/>
  <c r="C66" i="158"/>
  <c r="C61" i="158"/>
  <c r="C55" i="158"/>
  <c r="C53" i="158"/>
  <c r="C43" i="158"/>
  <c r="C32" i="158"/>
  <c r="C31" i="158"/>
  <c r="C30" i="158"/>
  <c r="C25" i="158"/>
  <c r="C24" i="158"/>
  <c r="C20" i="158"/>
  <c r="D20" i="159"/>
  <c r="D23" i="159" s="1"/>
  <c r="F23" i="159" s="1"/>
  <c r="E23" i="159"/>
  <c r="L23" i="159"/>
  <c r="K23" i="159"/>
  <c r="J23" i="159"/>
  <c r="G23" i="159"/>
  <c r="C71" i="158"/>
  <c r="C70" i="158"/>
  <c r="C69" i="158"/>
  <c r="C68" i="158"/>
  <c r="C67" i="158"/>
  <c r="C65" i="158"/>
  <c r="C64" i="158"/>
  <c r="C63" i="158"/>
  <c r="C62" i="158"/>
  <c r="C60" i="158"/>
  <c r="C59" i="158"/>
  <c r="C58" i="158"/>
  <c r="C57" i="158"/>
  <c r="C56" i="158"/>
  <c r="C54" i="158"/>
  <c r="C51" i="158"/>
  <c r="C50" i="158"/>
  <c r="C48" i="158"/>
  <c r="C47" i="158"/>
  <c r="C46" i="158"/>
  <c r="C45" i="158"/>
  <c r="C44" i="158"/>
  <c r="C42" i="158"/>
  <c r="C41" i="158"/>
  <c r="C40" i="158"/>
  <c r="D39" i="158"/>
  <c r="C39" i="158"/>
  <c r="D38" i="158"/>
  <c r="C38" i="158"/>
  <c r="D37" i="158"/>
  <c r="C37" i="158"/>
  <c r="D36" i="158"/>
  <c r="C36" i="158"/>
  <c r="D35" i="158"/>
  <c r="C35" i="158"/>
  <c r="D34" i="158"/>
  <c r="C34" i="158"/>
  <c r="D33" i="158"/>
  <c r="C33" i="158"/>
  <c r="D32" i="158"/>
  <c r="D31" i="158"/>
  <c r="D30" i="158"/>
  <c r="D29" i="158"/>
  <c r="C29" i="158"/>
  <c r="D28" i="158"/>
  <c r="C28" i="158"/>
  <c r="D27" i="158"/>
  <c r="C27" i="158"/>
  <c r="D26" i="158"/>
  <c r="C26" i="158"/>
  <c r="D25" i="158"/>
  <c r="D24" i="158"/>
  <c r="D23" i="158"/>
  <c r="C23" i="158"/>
  <c r="C22" i="158"/>
  <c r="C21" i="158"/>
  <c r="C19" i="158"/>
  <c r="C18" i="158"/>
  <c r="C17" i="158"/>
  <c r="C16" i="158"/>
  <c r="F20" i="159" l="1"/>
  <c r="D73" i="158"/>
  <c r="E26" i="159"/>
  <c r="C73" i="158"/>
</calcChain>
</file>

<file path=xl/sharedStrings.xml><?xml version="1.0" encoding="utf-8"?>
<sst xmlns="http://schemas.openxmlformats.org/spreadsheetml/2006/main" count="128" uniqueCount="114">
  <si>
    <t>Eil. Nr.</t>
  </si>
  <si>
    <t>Padidėjo</t>
  </si>
  <si>
    <t>Sumažėjo</t>
  </si>
  <si>
    <t>Kėdainių krašto muziejus</t>
  </si>
  <si>
    <t>Dotnuvos slaugos namai</t>
  </si>
  <si>
    <t>Josvainių socialinis ir ugdymo centras</t>
  </si>
  <si>
    <t xml:space="preserve">Šėtos socialinis ir ugdymo centras 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</si>
  <si>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</si>
  <si>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</si>
  <si>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</si>
  <si>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</si>
  <si>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</si>
  <si>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Iš viso:</t>
  </si>
  <si>
    <t>Kėdainių kultūros centras</t>
  </si>
  <si>
    <t>Kėdainių r. Krakių Mikalojaus Katkaus gimnazija</t>
  </si>
  <si>
    <t>Kėdainių šviesioji gimnazija</t>
  </si>
  <si>
    <t>Kėdainių r. Dotnuvos pagrindinė mokykla</t>
  </si>
  <si>
    <t>Kėdainių r. Surviliškio Vinco Svirskio pagrindinė mokykla</t>
  </si>
  <si>
    <t>Kėdainių dailės mokykla</t>
  </si>
  <si>
    <t>Kėdainių kalbų mokykla</t>
  </si>
  <si>
    <t>Kėdainių muzikos  mokykla</t>
  </si>
  <si>
    <t>Kėdainių rajono savivaldybės Mikalojaus Daukšos viešoji biblioteka</t>
  </si>
  <si>
    <t>Kėdainių bendruomenės socialinis centras</t>
  </si>
  <si>
    <t>Kėdainių rajono savivaldybės visuomenės sveikatos biuras</t>
  </si>
  <si>
    <t>Kėdainių rajono savivaldybės priešgaisrinė tarnyba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</si>
  <si>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</si>
  <si>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</si>
  <si>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</si>
  <si>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</si>
  <si>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</si>
  <si>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</si>
  <si>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</si>
  <si>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</si>
  <si>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</si>
  <si>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</si>
  <si>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</si>
  <si>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Kėdainių rajono savivaldybės administracijos Kėdainių miesto seniūnija</t>
  </si>
  <si>
    <t>Kėdainių rajono savivaldybės kontrolės ir audito tarnyba</t>
  </si>
  <si>
    <t>Kėdainių švietimo pagalbos tarnyba</t>
  </si>
  <si>
    <t>Kėdainių suaugusiųjų ir jaunimo mokymo centras</t>
  </si>
  <si>
    <t>Kėdainių sporto centras</t>
  </si>
  <si>
    <t>DIDŽIAUSIAS LEISTINAS VALSTYBĖS TARNAUTOJŲ IR DARBUOTOJŲ,</t>
  </si>
  <si>
    <t>DIRBANČIŲ PAGAL DARBO SUTARTIS IR GAUNANČIŲ DARBO UŽMOKESTĮ</t>
  </si>
  <si>
    <t xml:space="preserve">IŠ SAVIVALDYBĖS BIUDŽETO PAREIGYBIŲ SKAIČIUS </t>
  </si>
  <si>
    <t>KĖDAINIŲ RAJONO SAVIVALDYBĖS INSTITUCIJOSE IR ĮSTAIGOSE</t>
  </si>
  <si>
    <t>Institucijos, įstaigos pavadinimas</t>
  </si>
  <si>
    <t>Kėdainių Juozo Paukštelio progimnazija</t>
  </si>
  <si>
    <t>Mero politinio (asmeninio) pasitikėjimo valstybės tarnautojai</t>
  </si>
  <si>
    <t>PATVIRTINTA</t>
  </si>
  <si>
    <t>Kėdainių rajono savivaldybės tarybos</t>
  </si>
  <si>
    <t>Kėdainių r. Akademijos gimnazija</t>
  </si>
  <si>
    <t>Kėdainių r. Josvainių gimnazija</t>
  </si>
  <si>
    <t>Kėdainių r. Šėtos gimnazija</t>
  </si>
  <si>
    <t>Kėdainių r. Labūnavos pagrindinė mokykla</t>
  </si>
  <si>
    <t>Paaiškinamoji lentelė</t>
  </si>
  <si>
    <t xml:space="preserve">KĖDAINIŲ RAJONO SAVIVALDYBĖS </t>
  </si>
  <si>
    <t>DIDŽIAUSIAS LEISTINAS VALSTYBĖS TARNAUTOJŲ PAREIGYBIŲ IR DARBUOTOJŲ,</t>
  </si>
  <si>
    <t>DIRBANČIŲ PAGAL DARBO SUTARTIS IR GAUNANČIŲ UŽMOKESTĮ</t>
  </si>
  <si>
    <t xml:space="preserve">IŠ SAVIVALDYBĖS BIUDŽETO, SKAIČIUS </t>
  </si>
  <si>
    <t>Įstaigos pavadinimas</t>
  </si>
  <si>
    <t>Pastabos</t>
  </si>
  <si>
    <t>Didėja/mažėja</t>
  </si>
  <si>
    <t>Kėdainių lopšelis-darželis „Aviliukas“</t>
  </si>
  <si>
    <t>Kėdainių lopšelis-darželis „Pasaka“</t>
  </si>
  <si>
    <t>Kėdainių lopšelis-darželis „Varpelis“</t>
  </si>
  <si>
    <t>Kėdainių lopšelis-darželis „Vyturėlis“</t>
  </si>
  <si>
    <t>Kėdainių lopšelis-darželis „Žilvitis“</t>
  </si>
  <si>
    <t>Kėdainių rajono Vilainių mokykla-darželis „Obelėlė“</t>
  </si>
  <si>
    <t>Kėdainių „Atžalyno“ gimnazija</t>
  </si>
  <si>
    <t>Lietuvos sporto universiteto Kėdainių „Aušros“ progimnazija</t>
  </si>
  <si>
    <t>Kėdainių „Ryto“ progimnazija</t>
  </si>
  <si>
    <t>Kėdainių pagalbos šeimai centras</t>
  </si>
  <si>
    <t>Kėdainių lopšelis-darželis „Puriena“</t>
  </si>
  <si>
    <t>Kėdainių lopšelis-darželis „Vaikystė“</t>
  </si>
  <si>
    <t>Iš viso</t>
  </si>
  <si>
    <t xml:space="preserve">iš jo mokytojų (dirbančių pagal bendrojo ugdymo ir neformaliojo švietimo programas) </t>
  </si>
  <si>
    <t>ML</t>
  </si>
  <si>
    <t>SB</t>
  </si>
  <si>
    <t>Kėdainių r. Miegėnų pagrindinė mokykla</t>
  </si>
  <si>
    <t>Kėdainių „Spindulio“ mokykla</t>
  </si>
  <si>
    <t>2021 m. asignavimų planas darbo užmokesčiui ir įmokoms soc draudimui (tūkst. Eur)</t>
  </si>
  <si>
    <t>VD</t>
  </si>
  <si>
    <t>Didžiausias leistinas valstybės tarnautojų ir darbuotojų pareigybių skaičius (išskyrus individualios priežiūros darbuotojus (teikiančius pagalbos namuose paslaugas) ir užimtumo didinimo programai įgyvendinti darbuotojus)</t>
  </si>
  <si>
    <t>2023 m. gruodžio 22 d.  Nr. TS-</t>
  </si>
  <si>
    <t>Didžiausias leistinas valstybės tarnautojų ir darbuotojų pareigybių skaičius (išskyrus individualios priežiūros darbuotojus (teikiančius pagalbos namuose paslaugas) ir viešųjų darbų darbuotojus)                                 2023-12-22 Nr. SP-</t>
  </si>
  <si>
    <t>Skirti 0,75 et mokytojo padėjėjo</t>
  </si>
  <si>
    <t>Skirti 1 et socialinio darbuotojo pareigybės</t>
  </si>
  <si>
    <t>Mažėja 0,5 et žemės ūkio spec. pareigybės ir perkeliama savivaldybės administracijai</t>
  </si>
  <si>
    <t>Skirti 0,76 et karjeros specialisto pareigybės</t>
  </si>
  <si>
    <t>Skirti 0,87 et karjeros specialisto pareigybės</t>
  </si>
  <si>
    <t>Skirti 0,85 et karjeros specialisto pareigybės</t>
  </si>
  <si>
    <t>Skirti 0,84 et karjeros specialisto pareigybės</t>
  </si>
  <si>
    <t>Skirti 0,60 et karjeros specialisto pareigybės</t>
  </si>
  <si>
    <t>Skirti 2,18 et karjeros specialisto pareigybės</t>
  </si>
  <si>
    <t>Mažėja 0,25 et žemės ūkio spec. pareigybės ir perkeliama savivaldybės administracijai</t>
  </si>
  <si>
    <t>Skirti 1 et slaugytojo pareigybės</t>
  </si>
  <si>
    <t>VDF -6,7</t>
  </si>
  <si>
    <t>VDF -3,7</t>
  </si>
  <si>
    <t xml:space="preserve">ML 9,9  </t>
  </si>
  <si>
    <t xml:space="preserve">VB 14,8 </t>
  </si>
  <si>
    <t xml:space="preserve">VB 16,7 </t>
  </si>
  <si>
    <t xml:space="preserve">VB 16,0 </t>
  </si>
  <si>
    <t xml:space="preserve">VB 17,6 </t>
  </si>
  <si>
    <t xml:space="preserve">VB 11,1 </t>
  </si>
  <si>
    <t xml:space="preserve">VB 43,2 </t>
  </si>
  <si>
    <t xml:space="preserve">SB 17,6 </t>
  </si>
  <si>
    <t>VB 55,6 
VDF 32,0</t>
  </si>
  <si>
    <t>SB 24,3</t>
  </si>
  <si>
    <t>VB 175,0</t>
  </si>
  <si>
    <t>2024 m. asignavimų planas darbo užmokesčiui ir įmokoms soc draudimui  (tūkst. Eur)</t>
  </si>
  <si>
    <t xml:space="preserve">SB 6,7  
VDF 6,7 </t>
  </si>
  <si>
    <t>VDF 28,3</t>
  </si>
  <si>
    <t>Didžiausias leistinas valstybės tarnautojų ir darbuotojų pareigybių skaičius (išskyrus individualios priežiūros darbuotojus (teikiančius pagalbos namuose paslaugas) ir viešųjų darbų darbuotojus)                                 2023-10-27 Nr. 
TS-302</t>
  </si>
  <si>
    <t>Skirti 1 et asmenų su sunkia negalia reikalų koordinatoriaus pareigybės, 0,75 et  perkelta žemės ūkio spec. pareigybės iš Krakių ir Vilainių sen. ir 3 et perkeliami iš NŽT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</si>
</sst>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/>
    <xf numFmtId="2" fontId="2" fillId="0" borderId="1" xfId="0" applyNumberFormat="1" applyFont="1" applyBorder="1"/>
    <xf numFmtId="0" fontId="3" fillId="0" borderId="1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2" fontId="6" fillId="0" borderId="0" xfId="0" applyNumberFormat="1" applyFont="1"/>
    <xf numFmtId="164" fontId="6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4" fontId="4" fillId="0" borderId="3" xfId="0" applyNumberFormat="1" applyFont="1" applyBorder="1" applyAlignment="1">
      <alignment wrapText="1"/>
    </xf>
    <xf numFmtId="0" fontId="6" fillId="0" borderId="3" xfId="0" applyFont="1" applyBorder="1" applyAlignment="1">
      <alignment horizontal="left" vertical="center"/>
    </xf>
    <xf numFmtId="164" fontId="4" fillId="0" borderId="0" xfId="0" applyNumberFormat="1" applyFont="1" applyAlignment="1">
      <alignment wrapText="1"/>
    </xf>
    <xf numFmtId="0" fontId="6" fillId="0" borderId="0" xfId="0" applyFont="1" applyAlignment="1">
      <alignment horizontal="right"/>
    </xf>
    <xf numFmtId="164" fontId="4" fillId="0" borderId="3" xfId="0" applyNumberFormat="1" applyFont="1" applyBorder="1" applyAlignment="1">
      <alignment horizontal="left" wrapText="1"/>
    </xf>
    <xf numFmtId="2" fontId="4" fillId="0" borderId="3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/>
    <xf numFmtId="0" fontId="6" fillId="0" borderId="1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4" fontId="6" fillId="0" borderId="4" xfId="0" applyNumberFormat="1" applyFont="1" applyBorder="1" applyAlignment="1">
      <alignment horizontal="right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2" fontId="2" fillId="0" borderId="0" xfId="0" applyNumberFormat="1" applyFont="1"/>
    <xf numFmtId="2" fontId="1" fillId="0" borderId="0" xfId="0" applyNumberFormat="1" applyFont="1"/>
    <xf numFmtId="164" fontId="2" fillId="0" borderId="1" xfId="0" applyNumberFormat="1" applyFont="1" applyBorder="1" applyAlignment="1">
      <alignment wrapText="1"/>
    </xf>
    <xf numFmtId="2" fontId="2" fillId="0" borderId="0" xfId="0" applyNumberFormat="1" applyFont="1" applyAlignment="1">
      <alignment horizontal="right"/>
    </xf>
    <xf numFmtId="0" fontId="5" fillId="0" borderId="0" xfId="0" applyFont="1"/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/>
    <xf numFmtId="4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14" fontId="6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2" fillId="0" borderId="7" xfId="0" applyFont="1" applyBorder="1"/>
    <xf numFmtId="0" fontId="2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2F37CB9D-4EBA-47E2-B888-8EF073A5F0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5.xml"/><Relationship Id="rId39" Type="http://schemas.microsoft.com/office/2017/10/relationships/person" Target="persons/person16.xml"/><Relationship Id="rId3" Type="http://schemas.openxmlformats.org/officeDocument/2006/relationships/theme" Target="theme/theme1.xml"/><Relationship Id="rId34" Type="http://schemas.microsoft.com/office/2017/10/relationships/person" Target="persons/person9.xml"/><Relationship Id="rId25" Type="http://schemas.microsoft.com/office/2017/10/relationships/person" Target="persons/person4.xml"/><Relationship Id="rId33" Type="http://schemas.microsoft.com/office/2017/10/relationships/person" Target="persons/person2.xml"/><Relationship Id="rId38" Type="http://schemas.microsoft.com/office/2017/10/relationships/person" Target="persons/person14.xml"/><Relationship Id="rId2" Type="http://schemas.openxmlformats.org/officeDocument/2006/relationships/worksheet" Target="worksheets/sheet2.xml"/><Relationship Id="rId29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.xml"/><Relationship Id="rId24" Type="http://schemas.microsoft.com/office/2017/10/relationships/person" Target="persons/person3.xml"/><Relationship Id="rId32" Type="http://schemas.microsoft.com/office/2017/10/relationships/person" Target="persons/person8.xml"/><Relationship Id="rId37" Type="http://schemas.microsoft.com/office/2017/10/relationships/person" Target="persons/person13.xml"/><Relationship Id="rId5" Type="http://schemas.openxmlformats.org/officeDocument/2006/relationships/sharedStrings" Target="sharedStrings.xml"/><Relationship Id="rId28" Type="http://schemas.microsoft.com/office/2017/10/relationships/person" Target="persons/person7.xml"/><Relationship Id="rId36" Type="http://schemas.microsoft.com/office/2017/10/relationships/person" Target="persons/person11.xml"/><Relationship Id="rId31" Type="http://schemas.microsoft.com/office/2017/10/relationships/person" Target="persons/person0.xml"/><Relationship Id="rId4" Type="http://schemas.openxmlformats.org/officeDocument/2006/relationships/styles" Target="styles.xml"/><Relationship Id="rId22" Type="http://schemas.microsoft.com/office/2017/10/relationships/person" Target="persons/person15.xml"/><Relationship Id="rId35" Type="http://schemas.microsoft.com/office/2017/10/relationships/person" Target="persons/person12.xml"/><Relationship Id="rId27" Type="http://schemas.microsoft.com/office/2017/10/relationships/person" Target="persons/person10.xml"/><Relationship Id="rId30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F1EA7-8E78-4B0F-AF27-99BB80F60C4E}">
  <dimension ref="A1:G86"/>
  <sheetViews>
    <sheetView tabSelected="1" topLeftCell="A50" workbookViewId="0">
      <selection activeCell="D81" sqref="D81"/>
    </sheetView>
  </sheetViews>
  <sheetFormatPr defaultRowHeight="12.75" x14ac:dyDescent="0.2"/>
  <cols>
    <col min="1" max="1" width="5.42578125" style="1" customWidth="1"/>
    <col min="2" max="2" width="41.7109375" style="1" customWidth="1"/>
    <col min="3" max="4" width="16.7109375" style="1" customWidth="1"/>
    <col min="5" max="6" width="9.140625" style="1"/>
    <col min="7" max="16384" width="9.140625" style="44"/>
  </cols>
  <sheetData>
    <row r="1" spans="1:6" x14ac:dyDescent="0.2">
      <c r="C1" s="66" t="s">
        <v>48</v>
      </c>
      <c r="D1" s="66"/>
    </row>
    <row r="2" spans="1:6" x14ac:dyDescent="0.2">
      <c r="C2" s="66" t="s">
        <v>49</v>
      </c>
      <c r="D2" s="66"/>
    </row>
    <row r="3" spans="1:6" x14ac:dyDescent="0.2">
      <c r="C3" s="66" t="s">
        <v>83</v>
      </c>
      <c r="D3" s="66"/>
    </row>
    <row r="4" spans="1:6" x14ac:dyDescent="0.2">
      <c r="B4" s="45"/>
      <c r="C4" s="43"/>
    </row>
    <row r="5" spans="1:6" x14ac:dyDescent="0.2">
      <c r="A5" s="65" t="s">
        <v>41</v>
      </c>
      <c r="B5" s="65"/>
      <c r="C5" s="65"/>
      <c r="D5" s="65"/>
    </row>
    <row r="6" spans="1:6" x14ac:dyDescent="0.2">
      <c r="A6" s="65" t="s">
        <v>42</v>
      </c>
      <c r="B6" s="65"/>
      <c r="C6" s="65"/>
      <c r="D6" s="65"/>
    </row>
    <row r="7" spans="1:6" x14ac:dyDescent="0.2">
      <c r="A7" s="65" t="s">
        <v>43</v>
      </c>
      <c r="B7" s="65"/>
      <c r="C7" s="65"/>
      <c r="D7" s="65"/>
    </row>
    <row r="8" spans="1:6" x14ac:dyDescent="0.2">
      <c r="A8" s="65" t="s">
        <v>44</v>
      </c>
      <c r="B8" s="65"/>
      <c r="C8" s="65"/>
      <c r="D8" s="65"/>
    </row>
    <row r="9" spans="1:6" x14ac:dyDescent="0.2">
      <c r="A9" s="67"/>
      <c r="B9" s="65"/>
      <c r="C9" s="65"/>
    </row>
    <row r="10" spans="1:6" ht="12.75" customHeight="1" x14ac:dyDescent="0.2">
      <c r="A10" s="68" t="s">
        <v>0</v>
      </c>
      <c r="B10" s="68" t="s">
        <v>45</v>
      </c>
      <c r="C10" s="69" t="s">
        <v>82</v>
      </c>
      <c r="D10" s="69"/>
    </row>
    <row r="11" spans="1:6" x14ac:dyDescent="0.2">
      <c r="A11" s="68"/>
      <c r="B11" s="68"/>
      <c r="C11" s="69"/>
      <c r="D11" s="69"/>
    </row>
    <row r="12" spans="1:6" x14ac:dyDescent="0.2">
      <c r="A12" s="68"/>
      <c r="B12" s="68"/>
      <c r="C12" s="69"/>
      <c r="D12" s="69"/>
    </row>
    <row r="13" spans="1:6" ht="53.25" customHeight="1" x14ac:dyDescent="0.2">
      <c r="A13" s="68"/>
      <c r="B13" s="68"/>
      <c r="C13" s="69"/>
      <c r="D13" s="69"/>
    </row>
    <row r="14" spans="1:6" ht="80.25" customHeight="1" x14ac:dyDescent="0.2">
      <c r="A14" s="68"/>
      <c r="B14" s="68"/>
      <c r="C14" s="46" t="s">
        <v>74</v>
      </c>
      <c r="D14" s="46" t="s">
        <v>75</v>
      </c>
    </row>
    <row r="15" spans="1:6" x14ac:dyDescent="0.2">
      <c r="A15" s="47">
        <v>1</v>
      </c>
      <c r="B15" s="47">
        <v>2</v>
      </c>
      <c r="C15" s="47">
        <v>3</v>
      </c>
      <c r="D15" s="48">
        <v>4</v>
      </c>
    </row>
    <row r="16" spans="1:6" x14ac:dyDescent="0.2">
      <c r="A16" s="48">
        <v>1</v>
      </c>
      <c r="B16" s="49" t="s">
        <v>62</v>
      </c>
      <c r="C16" s="2">
        <f>42.01+0.5-3+0.25+0.72+0.5+0.5-1.22+0.56+0.46+0.5+1</f>
        <v>42.78</v>
      </c>
      <c r="D16" s="2"/>
      <c r="E16" s="50"/>
      <c r="F16" s="50"/>
    </row>
    <row r="17" spans="1:7" x14ac:dyDescent="0.2">
      <c r="A17" s="48">
        <v>2</v>
      </c>
      <c r="B17" s="49" t="s">
        <v>63</v>
      </c>
      <c r="C17" s="2">
        <f>46.25-2.5-0.25+1+0.56+0.46</f>
        <v>45.52</v>
      </c>
      <c r="D17" s="2"/>
      <c r="E17" s="50"/>
      <c r="F17" s="50"/>
    </row>
    <row r="18" spans="1:7" x14ac:dyDescent="0.2">
      <c r="A18" s="48">
        <v>3</v>
      </c>
      <c r="B18" s="49" t="s">
        <v>72</v>
      </c>
      <c r="C18" s="2">
        <f>41.65+0.5-3+0.25+2.5+1+0.63+0.5+0.5</f>
        <v>44.53</v>
      </c>
      <c r="D18" s="2"/>
      <c r="E18" s="50"/>
      <c r="F18" s="50"/>
      <c r="G18" s="51"/>
    </row>
    <row r="19" spans="1:7" x14ac:dyDescent="0.2">
      <c r="A19" s="48">
        <v>4</v>
      </c>
      <c r="B19" s="49" t="s">
        <v>73</v>
      </c>
      <c r="C19" s="2">
        <f>44.43+0.5-2.5+2.5+1+0.69+0.55</f>
        <v>47.169999999999995</v>
      </c>
      <c r="D19" s="2"/>
      <c r="E19" s="50"/>
      <c r="F19" s="50"/>
    </row>
    <row r="20" spans="1:7" x14ac:dyDescent="0.2">
      <c r="A20" s="48">
        <v>5</v>
      </c>
      <c r="B20" s="49" t="s">
        <v>64</v>
      </c>
      <c r="C20" s="2">
        <f>46.15+0.5-2.5+0.25+0.84+0.55+0.75</f>
        <v>46.54</v>
      </c>
      <c r="D20" s="2"/>
      <c r="E20" s="50"/>
      <c r="F20" s="50"/>
    </row>
    <row r="21" spans="1:7" x14ac:dyDescent="0.2">
      <c r="A21" s="48">
        <v>6</v>
      </c>
      <c r="B21" s="49" t="s">
        <v>65</v>
      </c>
      <c r="C21" s="2">
        <f>49.49-3+0.25-2.5+2.5+1.5+1+0.5+0.66+0.4</f>
        <v>50.8</v>
      </c>
      <c r="D21" s="2"/>
      <c r="E21" s="50"/>
      <c r="F21" s="50"/>
    </row>
    <row r="22" spans="1:7" x14ac:dyDescent="0.2">
      <c r="A22" s="48">
        <v>7</v>
      </c>
      <c r="B22" s="49" t="s">
        <v>66</v>
      </c>
      <c r="C22" s="2">
        <f>47.4+0.5-3+1+0.5+0.69+0.55+0.5+1.5</f>
        <v>49.639999999999993</v>
      </c>
      <c r="D22" s="2"/>
      <c r="E22" s="50"/>
      <c r="F22" s="50"/>
    </row>
    <row r="23" spans="1:7" x14ac:dyDescent="0.2">
      <c r="A23" s="48">
        <v>8</v>
      </c>
      <c r="B23" s="52" t="s">
        <v>67</v>
      </c>
      <c r="C23" s="2">
        <f>38+0.5-2.5+0.25+0.25+5.33-0.54+0.3+0.43+1.5+1-0.23+0.5+0.44+1.5+1.5+0.35+0.5-0.04</f>
        <v>49.04</v>
      </c>
      <c r="D23" s="2">
        <f>5.33-0.54+0.43-0.23-0.04</f>
        <v>4.9499999999999993</v>
      </c>
      <c r="E23" s="53"/>
      <c r="F23" s="50"/>
    </row>
    <row r="24" spans="1:7" x14ac:dyDescent="0.2">
      <c r="A24" s="48">
        <v>9</v>
      </c>
      <c r="B24" s="49" t="s">
        <v>68</v>
      </c>
      <c r="C24" s="2">
        <f>42.5-3.5+1.5-0.5+41.09+3.54-1.75+0.74+1.7-1.71-1-3.19+0.76</f>
        <v>80.180000000000021</v>
      </c>
      <c r="D24" s="2">
        <f>41.09+3.54+0.74+1.7-1.71-3.19</f>
        <v>42.170000000000009</v>
      </c>
      <c r="E24" s="50"/>
      <c r="F24" s="50"/>
    </row>
    <row r="25" spans="1:7" x14ac:dyDescent="0.2">
      <c r="A25" s="48">
        <v>10</v>
      </c>
      <c r="B25" s="49" t="s">
        <v>15</v>
      </c>
      <c r="C25" s="2">
        <f>29.35-0.5+38.88+1.3+3.47+1.8-1.5-0.17+3.15+0.74-1.45+0.85</f>
        <v>75.919999999999987</v>
      </c>
      <c r="D25" s="2">
        <f>38.88+3.47+1.8-0.17-1.8+3.15+0.74-1.45</f>
        <v>44.62</v>
      </c>
      <c r="E25" s="50"/>
      <c r="F25" s="50"/>
    </row>
    <row r="26" spans="1:7" x14ac:dyDescent="0.2">
      <c r="A26" s="48">
        <v>11</v>
      </c>
      <c r="B26" s="49" t="s">
        <v>50</v>
      </c>
      <c r="C26" s="2">
        <f>71+2.5+29.52+2.5-3.13+3-0.75+0.41+1+1.35+0.41-0.47+1.5+0.35+29.17-0.25-2.61+0.15</f>
        <v>135.64999999999998</v>
      </c>
      <c r="D26" s="2">
        <f>29.52-3.13+0.41+1.35-0.47+11.64+0.15</f>
        <v>39.470000000000006</v>
      </c>
      <c r="E26" s="50"/>
      <c r="F26" s="50"/>
      <c r="G26" s="54"/>
    </row>
    <row r="27" spans="1:7" x14ac:dyDescent="0.2">
      <c r="A27" s="48">
        <v>12</v>
      </c>
      <c r="B27" s="52" t="s">
        <v>51</v>
      </c>
      <c r="C27" s="2">
        <f>48.65-0.6+28.12+0.3+4.47-13.95-10.67+1.75+1.51-1+0.06+1.18+0.05+1.97</f>
        <v>61.839999999999989</v>
      </c>
      <c r="D27" s="2">
        <f>20.41+6.99+0.72+0.3+4.47-10.67+1.51+1.18+1.97</f>
        <v>26.88</v>
      </c>
      <c r="E27" s="50"/>
      <c r="F27" s="50"/>
    </row>
    <row r="28" spans="1:7" x14ac:dyDescent="0.2">
      <c r="A28" s="48">
        <v>13</v>
      </c>
      <c r="B28" s="52" t="s">
        <v>14</v>
      </c>
      <c r="C28" s="2">
        <f>75.25-1.05+24.01+0.29+1+1.94-0.27+0.5+1.03+0.25-1.64+0.22-1.94</f>
        <v>99.590000000000018</v>
      </c>
      <c r="D28" s="2">
        <f>21.11+1.45+1.45+0.29+1.94-0.27+1.03-1.64-1.94</f>
        <v>23.419999999999998</v>
      </c>
      <c r="E28" s="50"/>
      <c r="F28" s="50"/>
    </row>
    <row r="29" spans="1:7" x14ac:dyDescent="0.2">
      <c r="A29" s="48">
        <v>14</v>
      </c>
      <c r="B29" s="49" t="s">
        <v>52</v>
      </c>
      <c r="C29" s="2">
        <f>35.5+21.51+0.34+1.9-0.25-0.93+0.5+0.19+0.5+12.5+1+1.06+2.6+0.5+0.06+0.5-2.07</f>
        <v>75.410000000000011</v>
      </c>
      <c r="D29" s="2">
        <f>21.51+0.34+1.9-0.93+0.19+2+2.6-2.07</f>
        <v>25.540000000000003</v>
      </c>
      <c r="E29" s="50"/>
      <c r="F29" s="50"/>
    </row>
    <row r="30" spans="1:7" ht="25.5" x14ac:dyDescent="0.2">
      <c r="A30" s="48">
        <v>15</v>
      </c>
      <c r="B30" s="55" t="s">
        <v>69</v>
      </c>
      <c r="C30" s="2">
        <f>52.5+1+49.25+0.23+6.69-0.25+0.5+0.95+0.5+0.25+1.75+0.52+0.5-2.31-2+0.5+0.5+1.4+0.84</f>
        <v>113.32000000000001</v>
      </c>
      <c r="D30" s="2">
        <f>49.25+0.23+6.69+0.95+1.75+0.52-2.31+1.4</f>
        <v>58.48</v>
      </c>
      <c r="E30" s="50"/>
      <c r="F30" s="50"/>
    </row>
    <row r="31" spans="1:7" x14ac:dyDescent="0.2">
      <c r="A31" s="48">
        <v>16</v>
      </c>
      <c r="B31" s="56" t="s">
        <v>70</v>
      </c>
      <c r="C31" s="2">
        <f>42.25-3+0.75+0.5+59.82+1+1.37+0.97+0.5-0.27+1-1.19-0.4+0.5-3.13+0.87</f>
        <v>101.54</v>
      </c>
      <c r="D31" s="2">
        <f>59.82+1.37+0.97-0.27-1.19-3.13</f>
        <v>57.569999999999993</v>
      </c>
      <c r="E31" s="50"/>
      <c r="F31" s="50"/>
    </row>
    <row r="32" spans="1:7" x14ac:dyDescent="0.2">
      <c r="A32" s="48">
        <v>17</v>
      </c>
      <c r="B32" s="55" t="s">
        <v>46</v>
      </c>
      <c r="C32" s="2">
        <f>47.27-3+0.6-3+34.51+1.83-1.5+1.91+1+0.52+0.49+0.26+1+0.05+0.5+0.02+0.6</f>
        <v>83.059999999999974</v>
      </c>
      <c r="D32" s="2">
        <f>33.06+1.45+1.83+1.91+0.52+0.26+0.02</f>
        <v>39.050000000000004</v>
      </c>
      <c r="E32" s="50"/>
      <c r="F32" s="50"/>
    </row>
    <row r="33" spans="1:7" x14ac:dyDescent="0.2">
      <c r="A33" s="48">
        <v>18</v>
      </c>
      <c r="B33" s="52" t="s">
        <v>16</v>
      </c>
      <c r="C33" s="2">
        <f>22.75+0.5+1+12.65+2.87-0.01+0.04+0.03+0.12+0.03-0.91</f>
        <v>39.07</v>
      </c>
      <c r="D33" s="2">
        <f>12.65+2.87-0.01+0.04+0.12-0.91</f>
        <v>14.759999999999998</v>
      </c>
      <c r="E33" s="50"/>
      <c r="F33" s="50"/>
    </row>
    <row r="34" spans="1:7" x14ac:dyDescent="0.2">
      <c r="A34" s="48">
        <v>19</v>
      </c>
      <c r="B34" s="52" t="s">
        <v>53</v>
      </c>
      <c r="C34" s="2">
        <f>63.3+0.5+0.5+0.5+1+0.25+17.43+0.29+2.31+0.01+1+0.49+0.42-0.48+1+0.19+1-0.68</f>
        <v>89.029999999999987</v>
      </c>
      <c r="D34" s="2">
        <f>14.52+2.91+0.29+2.31+0.01+0.49-0.48-0.68</f>
        <v>19.369999999999997</v>
      </c>
      <c r="E34" s="50"/>
      <c r="F34" s="50"/>
    </row>
    <row r="35" spans="1:7" x14ac:dyDescent="0.2">
      <c r="A35" s="48">
        <v>20</v>
      </c>
      <c r="B35" s="52" t="s">
        <v>78</v>
      </c>
      <c r="C35" s="2">
        <f>17.25+0.5+12+0.34+0.1+0.89-0.25+1.36-1.64+0.03-1.41-29.17</f>
        <v>0</v>
      </c>
      <c r="D35" s="2">
        <f>12+0.34+0.1+0.89+1.36-1.64-1.41-11.64</f>
        <v>0</v>
      </c>
      <c r="E35" s="50"/>
      <c r="F35" s="50"/>
    </row>
    <row r="36" spans="1:7" ht="25.5" x14ac:dyDescent="0.2">
      <c r="A36" s="48">
        <v>21</v>
      </c>
      <c r="B36" s="52" t="s">
        <v>17</v>
      </c>
      <c r="C36" s="2">
        <f>20.9+0.5-0.25+0.1+11.63+1.88+1.33+0.5-1.02-2+0.03-1.04+0.03+1.75-0.92</f>
        <v>33.42</v>
      </c>
      <c r="D36" s="2">
        <f>11.63+1.88+1.33-1.02-1.04-0.92</f>
        <v>11.860000000000001</v>
      </c>
      <c r="E36" s="50"/>
      <c r="F36" s="50"/>
    </row>
    <row r="37" spans="1:7" x14ac:dyDescent="0.2">
      <c r="A37" s="48">
        <v>22</v>
      </c>
      <c r="B37" s="52" t="s">
        <v>39</v>
      </c>
      <c r="C37" s="2">
        <f>31.25-3+0.5+15.82+3.5+1.22-1.2-2.91-2.53+0.5-0.25-2.18-1.5-0.26</f>
        <v>38.959999999999994</v>
      </c>
      <c r="D37" s="2">
        <f>15.82+1.22-1.2-2.91-2.53-2.18-0.26</f>
        <v>7.9600000000000009</v>
      </c>
      <c r="E37" s="50"/>
      <c r="F37" s="50"/>
    </row>
    <row r="38" spans="1:7" x14ac:dyDescent="0.2">
      <c r="A38" s="48">
        <v>23</v>
      </c>
      <c r="B38" s="52" t="s">
        <v>79</v>
      </c>
      <c r="C38" s="2">
        <f>74.5-1+20.46+1.55-8.5+1.34-0.22-1.6+0.32-3.5+0.38</f>
        <v>83.73</v>
      </c>
      <c r="D38" s="2">
        <f>20.46+1.55+1.34-0.22-1.6+0.32+0.38</f>
        <v>22.23</v>
      </c>
      <c r="E38" s="50"/>
      <c r="F38" s="50"/>
    </row>
    <row r="39" spans="1:7" x14ac:dyDescent="0.2">
      <c r="A39" s="48">
        <v>24</v>
      </c>
      <c r="B39" s="49" t="s">
        <v>18</v>
      </c>
      <c r="C39" s="2">
        <f>7.25+6.11+3+1.75+1</f>
        <v>19.11</v>
      </c>
      <c r="D39" s="2">
        <f>6.11+3+1</f>
        <v>10.11</v>
      </c>
      <c r="E39" s="50"/>
      <c r="F39" s="50"/>
      <c r="G39" s="51"/>
    </row>
    <row r="40" spans="1:7" x14ac:dyDescent="0.2">
      <c r="A40" s="48">
        <v>25</v>
      </c>
      <c r="B40" s="49" t="s">
        <v>19</v>
      </c>
      <c r="C40" s="2">
        <f>9+9.16</f>
        <v>18.16</v>
      </c>
      <c r="D40" s="2">
        <v>9.16</v>
      </c>
      <c r="E40" s="50"/>
      <c r="F40" s="50"/>
    </row>
    <row r="41" spans="1:7" x14ac:dyDescent="0.2">
      <c r="A41" s="48">
        <v>26</v>
      </c>
      <c r="B41" s="49" t="s">
        <v>20</v>
      </c>
      <c r="C41" s="2">
        <f>14+36.66</f>
        <v>50.66</v>
      </c>
      <c r="D41" s="2">
        <v>36.659999999999997</v>
      </c>
      <c r="E41" s="50"/>
      <c r="F41" s="50"/>
    </row>
    <row r="42" spans="1:7" x14ac:dyDescent="0.2">
      <c r="A42" s="48">
        <v>27</v>
      </c>
      <c r="B42" s="49" t="s">
        <v>40</v>
      </c>
      <c r="C42" s="2">
        <f>29.5+11.22+2+3+3</f>
        <v>48.72</v>
      </c>
      <c r="D42" s="2"/>
      <c r="E42" s="50"/>
      <c r="F42" s="50"/>
    </row>
    <row r="43" spans="1:7" x14ac:dyDescent="0.2">
      <c r="A43" s="48">
        <v>28</v>
      </c>
      <c r="B43" s="49" t="s">
        <v>38</v>
      </c>
      <c r="C43" s="2">
        <f>14.75+1-1+2.18</f>
        <v>16.93</v>
      </c>
      <c r="D43" s="2"/>
      <c r="E43" s="50"/>
      <c r="F43" s="50"/>
    </row>
    <row r="44" spans="1:7" x14ac:dyDescent="0.2">
      <c r="A44" s="48">
        <v>29</v>
      </c>
      <c r="B44" s="49" t="s">
        <v>13</v>
      </c>
      <c r="C44" s="2">
        <f>39+0.5+0.25</f>
        <v>39.75</v>
      </c>
      <c r="D44" s="2"/>
      <c r="E44" s="50"/>
      <c r="F44" s="50"/>
    </row>
    <row r="45" spans="1:7" x14ac:dyDescent="0.2">
      <c r="A45" s="48">
        <v>30</v>
      </c>
      <c r="B45" s="49" t="s">
        <v>7</v>
      </c>
      <c r="C45" s="2">
        <f>13+0.5</f>
        <v>13.5</v>
      </c>
      <c r="D45" s="2"/>
      <c r="E45" s="50"/>
      <c r="F45" s="50"/>
    </row>
    <row r="46" spans="1:7" x14ac:dyDescent="0.2">
      <c r="A46" s="48">
        <v>31</v>
      </c>
      <c r="B46" s="49" t="s">
        <v>8</v>
      </c>
      <c r="C46" s="2">
        <f>8.7+0.25+0.5</f>
        <v>9.4499999999999993</v>
      </c>
      <c r="D46" s="2"/>
      <c r="E46" s="50"/>
      <c r="F46" s="50"/>
    </row>
    <row r="47" spans="1:7" x14ac:dyDescent="0.2">
      <c r="A47" s="48">
        <v>32</v>
      </c>
      <c r="B47" s="49" t="s">
        <v>9</v>
      </c>
      <c r="C47" s="2">
        <f>8+0.25+0.5+0.25</f>
        <v>9</v>
      </c>
      <c r="D47" s="2"/>
      <c r="E47" s="50"/>
      <c r="F47" s="50"/>
    </row>
    <row r="48" spans="1:7" x14ac:dyDescent="0.2">
      <c r="A48" s="48">
        <v>33</v>
      </c>
      <c r="B48" s="49" t="s">
        <v>10</v>
      </c>
      <c r="C48" s="2">
        <f>6.25+0.25+0.5</f>
        <v>7</v>
      </c>
      <c r="D48" s="2"/>
      <c r="E48" s="50"/>
      <c r="F48" s="50"/>
    </row>
    <row r="49" spans="1:6" x14ac:dyDescent="0.2">
      <c r="A49" s="48">
        <v>34</v>
      </c>
      <c r="B49" s="49" t="s">
        <v>11</v>
      </c>
      <c r="C49" s="2">
        <v>5.5</v>
      </c>
      <c r="D49" s="2"/>
      <c r="E49" s="50"/>
      <c r="F49" s="50"/>
    </row>
    <row r="50" spans="1:6" ht="25.5" x14ac:dyDescent="0.2">
      <c r="A50" s="48">
        <v>35</v>
      </c>
      <c r="B50" s="52" t="s">
        <v>21</v>
      </c>
      <c r="C50" s="2">
        <f>58.25+0.5+1+0.5</f>
        <v>60.25</v>
      </c>
      <c r="D50" s="2"/>
      <c r="E50" s="50"/>
      <c r="F50" s="50"/>
    </row>
    <row r="51" spans="1:6" x14ac:dyDescent="0.2">
      <c r="A51" s="48">
        <v>36</v>
      </c>
      <c r="B51" s="49" t="s">
        <v>3</v>
      </c>
      <c r="C51" s="2">
        <f>29+2+3</f>
        <v>34</v>
      </c>
      <c r="D51" s="2"/>
      <c r="E51" s="50"/>
      <c r="F51" s="50"/>
    </row>
    <row r="52" spans="1:6" x14ac:dyDescent="0.2">
      <c r="A52" s="48">
        <v>37</v>
      </c>
      <c r="B52" s="52" t="s">
        <v>24</v>
      </c>
      <c r="C52" s="2">
        <v>84</v>
      </c>
      <c r="D52" s="2"/>
      <c r="E52" s="50"/>
      <c r="F52" s="50"/>
    </row>
    <row r="53" spans="1:6" x14ac:dyDescent="0.2">
      <c r="A53" s="48">
        <v>38</v>
      </c>
      <c r="B53" s="57" t="s">
        <v>22</v>
      </c>
      <c r="C53" s="2">
        <f>33.5+1+1+3.5+8.5+1-8+1</f>
        <v>41.5</v>
      </c>
      <c r="D53" s="2"/>
      <c r="E53" s="50"/>
      <c r="F53" s="50"/>
    </row>
    <row r="54" spans="1:6" x14ac:dyDescent="0.2">
      <c r="A54" s="48">
        <v>39</v>
      </c>
      <c r="B54" s="49" t="s">
        <v>4</v>
      </c>
      <c r="C54" s="2">
        <f>30.75+1.25+2</f>
        <v>34</v>
      </c>
      <c r="D54" s="2"/>
      <c r="E54" s="50"/>
      <c r="F54" s="50"/>
    </row>
    <row r="55" spans="1:6" x14ac:dyDescent="0.2">
      <c r="A55" s="48">
        <v>40</v>
      </c>
      <c r="B55" s="49" t="s">
        <v>5</v>
      </c>
      <c r="C55" s="2">
        <f>30.4+1.5+2+5.5+0.5+0.27+3+0.14+1</f>
        <v>44.31</v>
      </c>
      <c r="D55" s="2"/>
      <c r="E55" s="50"/>
      <c r="F55" s="50"/>
    </row>
    <row r="56" spans="1:6" x14ac:dyDescent="0.2">
      <c r="A56" s="48">
        <v>41</v>
      </c>
      <c r="B56" s="49" t="s">
        <v>6</v>
      </c>
      <c r="C56" s="2">
        <f>29.93+1.6+1+6.75+0.1+0.5+3.25+0.09</f>
        <v>43.220000000000006</v>
      </c>
      <c r="D56" s="2"/>
      <c r="E56" s="50"/>
      <c r="F56" s="50"/>
    </row>
    <row r="57" spans="1:6" x14ac:dyDescent="0.2">
      <c r="A57" s="48">
        <v>42</v>
      </c>
      <c r="B57" s="49" t="s">
        <v>71</v>
      </c>
      <c r="C57" s="2">
        <f>55.96+1.5+3+0.5+1+2.5+4+5+13+1.5+3+6+1</f>
        <v>97.960000000000008</v>
      </c>
      <c r="D57" s="2"/>
      <c r="E57" s="50"/>
      <c r="F57" s="50"/>
    </row>
    <row r="58" spans="1:6" ht="25.5" x14ac:dyDescent="0.2">
      <c r="A58" s="48">
        <v>43</v>
      </c>
      <c r="B58" s="52" t="s">
        <v>23</v>
      </c>
      <c r="C58" s="2">
        <f>21+1.5+1.5+1+1.5</f>
        <v>26.5</v>
      </c>
      <c r="D58" s="2"/>
      <c r="E58" s="50"/>
      <c r="F58" s="50"/>
    </row>
    <row r="59" spans="1:6" ht="25.5" x14ac:dyDescent="0.2">
      <c r="A59" s="48">
        <v>44</v>
      </c>
      <c r="B59" s="57" t="s">
        <v>37</v>
      </c>
      <c r="C59" s="2">
        <f>4+1</f>
        <v>5</v>
      </c>
      <c r="D59" s="2"/>
      <c r="E59" s="50"/>
      <c r="F59" s="50"/>
    </row>
    <row r="60" spans="1:6" ht="25.5" x14ac:dyDescent="0.2">
      <c r="A60" s="48">
        <v>45</v>
      </c>
      <c r="B60" s="57" t="s">
        <v>47</v>
      </c>
      <c r="C60" s="2">
        <f>4+2</f>
        <v>6</v>
      </c>
      <c r="D60" s="2"/>
      <c r="E60" s="50"/>
      <c r="F60" s="50"/>
    </row>
    <row r="61" spans="1:6" x14ac:dyDescent="0.2">
      <c r="A61" s="48">
        <v>46</v>
      </c>
      <c r="B61" s="58" t="s">
        <v>25</v>
      </c>
      <c r="C61" s="2">
        <f>133.5+1+5+17.2+1+1+1+3+0.6+4.75</f>
        <v>168.04999999999998</v>
      </c>
      <c r="D61" s="2"/>
      <c r="E61" s="50"/>
      <c r="F61" s="50"/>
    </row>
    <row r="62" spans="1:6" ht="25.5" x14ac:dyDescent="0.2">
      <c r="A62" s="48">
        <v>47</v>
      </c>
      <c r="B62" s="52" t="s">
        <v>36</v>
      </c>
      <c r="C62" s="2">
        <f>39.75-4-4.5+2</f>
        <v>33.25</v>
      </c>
      <c r="D62" s="2"/>
      <c r="E62" s="50"/>
      <c r="F62" s="50"/>
    </row>
    <row r="63" spans="1:6" ht="25.5" x14ac:dyDescent="0.2">
      <c r="A63" s="48">
        <v>48</v>
      </c>
      <c r="B63" s="52" t="s">
        <v>26</v>
      </c>
      <c r="C63" s="2">
        <f>17.75+0.75-1-1-1.3</f>
        <v>15.2</v>
      </c>
      <c r="D63" s="2"/>
      <c r="E63" s="50"/>
      <c r="F63" s="50"/>
    </row>
    <row r="64" spans="1:6" ht="25.5" x14ac:dyDescent="0.2">
      <c r="A64" s="48">
        <v>49</v>
      </c>
      <c r="B64" s="52" t="s">
        <v>27</v>
      </c>
      <c r="C64" s="2">
        <f>17.8+0.5-0.5-1.5-1.7</f>
        <v>14.600000000000001</v>
      </c>
      <c r="D64" s="2"/>
      <c r="E64" s="50"/>
      <c r="F64" s="50"/>
    </row>
    <row r="65" spans="1:7" ht="25.5" x14ac:dyDescent="0.2">
      <c r="A65" s="48">
        <v>50</v>
      </c>
      <c r="B65" s="52" t="s">
        <v>29</v>
      </c>
      <c r="C65" s="2">
        <f>14.45+0.25-0.25-1-1.7-0.6</f>
        <v>11.15</v>
      </c>
      <c r="D65" s="2"/>
      <c r="E65" s="50"/>
      <c r="F65" s="50"/>
    </row>
    <row r="66" spans="1:7" ht="25.5" x14ac:dyDescent="0.2">
      <c r="A66" s="48">
        <v>51</v>
      </c>
      <c r="B66" s="52" t="s">
        <v>28</v>
      </c>
      <c r="C66" s="2">
        <f>16.2+0.5-0.5-1.5-1.2+0.5-0.25</f>
        <v>13.75</v>
      </c>
      <c r="D66" s="2"/>
      <c r="E66" s="50"/>
      <c r="F66" s="50"/>
    </row>
    <row r="67" spans="1:7" ht="25.5" x14ac:dyDescent="0.2">
      <c r="A67" s="48">
        <v>52</v>
      </c>
      <c r="B67" s="52" t="s">
        <v>30</v>
      </c>
      <c r="C67" s="2">
        <f>15.2-0.25-1-1.7</f>
        <v>12.25</v>
      </c>
      <c r="D67" s="2"/>
      <c r="E67" s="50"/>
      <c r="F67" s="50"/>
    </row>
    <row r="68" spans="1:7" ht="25.5" x14ac:dyDescent="0.2">
      <c r="A68" s="48">
        <v>53</v>
      </c>
      <c r="B68" s="57" t="s">
        <v>31</v>
      </c>
      <c r="C68" s="2">
        <f>10.45+0.5-0.5-1-1.7+8.75-0.5</f>
        <v>16</v>
      </c>
      <c r="D68" s="2"/>
      <c r="E68" s="50"/>
      <c r="F68" s="50"/>
    </row>
    <row r="69" spans="1:7" ht="25.5" x14ac:dyDescent="0.2">
      <c r="A69" s="48">
        <v>54</v>
      </c>
      <c r="B69" s="52" t="s">
        <v>33</v>
      </c>
      <c r="C69" s="2">
        <f>11.95-0.5-1-1.2+1</f>
        <v>10.25</v>
      </c>
      <c r="D69" s="2"/>
      <c r="E69" s="50"/>
      <c r="F69" s="50"/>
    </row>
    <row r="70" spans="1:7" ht="25.5" x14ac:dyDescent="0.2">
      <c r="A70" s="48">
        <v>55</v>
      </c>
      <c r="B70" s="52" t="s">
        <v>32</v>
      </c>
      <c r="C70" s="2">
        <f>15.2-1.5-1.7</f>
        <v>12</v>
      </c>
      <c r="D70" s="2"/>
      <c r="E70" s="50"/>
      <c r="F70" s="50"/>
    </row>
    <row r="71" spans="1:7" ht="25.5" x14ac:dyDescent="0.2">
      <c r="A71" s="48">
        <v>56</v>
      </c>
      <c r="B71" s="52" t="s">
        <v>34</v>
      </c>
      <c r="C71" s="2">
        <f>13.2+0.5-0.5-1.5-1.7+0.4+0.6</f>
        <v>11</v>
      </c>
      <c r="D71" s="2"/>
      <c r="E71" s="50"/>
      <c r="F71" s="50"/>
    </row>
    <row r="72" spans="1:7" ht="25.5" x14ac:dyDescent="0.2">
      <c r="A72" s="48">
        <v>57</v>
      </c>
      <c r="B72" s="52" t="s">
        <v>35</v>
      </c>
      <c r="C72" s="2">
        <f>27.7+0.5-2-4.7-0.5</f>
        <v>21</v>
      </c>
      <c r="D72" s="2"/>
      <c r="E72" s="50"/>
      <c r="F72" s="50"/>
    </row>
    <row r="73" spans="1:7" x14ac:dyDescent="0.2">
      <c r="A73" s="48">
        <v>58</v>
      </c>
      <c r="B73" s="59" t="s">
        <v>12</v>
      </c>
      <c r="C73" s="60">
        <f>SUM(C16:C72)</f>
        <v>2539.7600000000002</v>
      </c>
      <c r="D73" s="60">
        <f>SUM(D16:D72)</f>
        <v>494.26</v>
      </c>
      <c r="E73" s="61"/>
      <c r="F73" s="61"/>
      <c r="G73" s="61"/>
    </row>
    <row r="74" spans="1:7" x14ac:dyDescent="0.2">
      <c r="C74" s="50"/>
    </row>
    <row r="75" spans="1:7" x14ac:dyDescent="0.2">
      <c r="C75" s="62"/>
      <c r="D75" s="63"/>
    </row>
    <row r="76" spans="1:7" x14ac:dyDescent="0.2">
      <c r="C76" s="64"/>
      <c r="D76" s="64"/>
    </row>
    <row r="77" spans="1:7" x14ac:dyDescent="0.2">
      <c r="B77" s="45"/>
      <c r="C77" s="50"/>
      <c r="D77" s="50"/>
    </row>
    <row r="78" spans="1:7" x14ac:dyDescent="0.2">
      <c r="B78" s="45"/>
      <c r="C78" s="50"/>
      <c r="D78" s="45"/>
    </row>
    <row r="79" spans="1:7" x14ac:dyDescent="0.2">
      <c r="B79" s="45"/>
      <c r="C79" s="50"/>
      <c r="D79" s="45"/>
    </row>
    <row r="80" spans="1:7" x14ac:dyDescent="0.2">
      <c r="B80" s="45"/>
      <c r="C80" s="50"/>
      <c r="D80" s="45"/>
    </row>
    <row r="81" spans="2:4" x14ac:dyDescent="0.2">
      <c r="B81" s="45"/>
      <c r="D81" s="45"/>
    </row>
    <row r="82" spans="2:4" x14ac:dyDescent="0.2">
      <c r="D82" s="45"/>
    </row>
    <row r="83" spans="2:4" x14ac:dyDescent="0.2">
      <c r="D83" s="45"/>
    </row>
    <row r="84" spans="2:4" x14ac:dyDescent="0.2">
      <c r="D84" s="45"/>
    </row>
    <row r="85" spans="2:4" x14ac:dyDescent="0.2">
      <c r="D85" s="45"/>
    </row>
    <row r="86" spans="2:4" x14ac:dyDescent="0.2">
      <c r="D86" s="45"/>
    </row>
  </sheetData>
  <mergeCells count="11">
    <mergeCell ref="A8:D8"/>
    <mergeCell ref="A9:C9"/>
    <mergeCell ref="A10:A14"/>
    <mergeCell ref="B10:B14"/>
    <mergeCell ref="C10:D13"/>
    <mergeCell ref="A7:D7"/>
    <mergeCell ref="C1:D1"/>
    <mergeCell ref="C2:D2"/>
    <mergeCell ref="C3:D3"/>
    <mergeCell ref="A5:D5"/>
    <mergeCell ref="A6:D6"/>
  </mergeCells>
  <pageMargins left="0.51181102362204722" right="0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40E7-8D87-4C90-81EF-474358CF2C6C}">
  <sheetPr>
    <pageSetUpPr fitToPage="1"/>
  </sheetPr>
  <dimension ref="A1:AA976"/>
  <sheetViews>
    <sheetView workbookViewId="0">
      <selection activeCell="M14" sqref="M14"/>
    </sheetView>
  </sheetViews>
  <sheetFormatPr defaultColWidth="14.42578125" defaultRowHeight="12.75" x14ac:dyDescent="0.2"/>
  <cols>
    <col min="1" max="1" width="4.7109375" style="1" customWidth="1"/>
    <col min="2" max="2" width="29.85546875" style="1" customWidth="1"/>
    <col min="3" max="3" width="16.7109375" style="1" customWidth="1"/>
    <col min="4" max="5" width="8.140625" style="1" customWidth="1"/>
    <col min="6" max="6" width="16.5703125" style="1" customWidth="1"/>
    <col min="7" max="7" width="0.28515625" style="1" hidden="1" customWidth="1"/>
    <col min="8" max="8" width="12.7109375" style="1" customWidth="1"/>
    <col min="9" max="9" width="54.28515625" style="1" customWidth="1"/>
    <col min="10" max="10" width="5.7109375" style="1" hidden="1" customWidth="1"/>
    <col min="11" max="11" width="5.28515625" style="1" hidden="1" customWidth="1"/>
    <col min="12" max="12" width="33.28515625" style="1" hidden="1" customWidth="1"/>
    <col min="13" max="13" width="25.85546875" style="1" customWidth="1"/>
    <col min="14" max="27" width="8" style="1" customWidth="1"/>
    <col min="28" max="257" width="14.42578125" style="1"/>
    <col min="258" max="258" width="4.7109375" style="1" customWidth="1"/>
    <col min="259" max="259" width="29.85546875" style="1" customWidth="1"/>
    <col min="260" max="260" width="16.7109375" style="1" customWidth="1"/>
    <col min="261" max="262" width="6.5703125" style="1" customWidth="1"/>
    <col min="263" max="263" width="17.140625" style="1" customWidth="1"/>
    <col min="264" max="264" width="0" style="1" hidden="1" customWidth="1"/>
    <col min="265" max="265" width="47" style="1" customWidth="1"/>
    <col min="266" max="268" width="0" style="1" hidden="1" customWidth="1"/>
    <col min="269" max="269" width="25.85546875" style="1" customWidth="1"/>
    <col min="270" max="283" width="8" style="1" customWidth="1"/>
    <col min="284" max="513" width="14.42578125" style="1"/>
    <col min="514" max="514" width="4.7109375" style="1" customWidth="1"/>
    <col min="515" max="515" width="29.85546875" style="1" customWidth="1"/>
    <col min="516" max="516" width="16.7109375" style="1" customWidth="1"/>
    <col min="517" max="518" width="6.5703125" style="1" customWidth="1"/>
    <col min="519" max="519" width="17.140625" style="1" customWidth="1"/>
    <col min="520" max="520" width="0" style="1" hidden="1" customWidth="1"/>
    <col min="521" max="521" width="47" style="1" customWidth="1"/>
    <col min="522" max="524" width="0" style="1" hidden="1" customWidth="1"/>
    <col min="525" max="525" width="25.85546875" style="1" customWidth="1"/>
    <col min="526" max="539" width="8" style="1" customWidth="1"/>
    <col min="540" max="769" width="14.42578125" style="1"/>
    <col min="770" max="770" width="4.7109375" style="1" customWidth="1"/>
    <col min="771" max="771" width="29.85546875" style="1" customWidth="1"/>
    <col min="772" max="772" width="16.7109375" style="1" customWidth="1"/>
    <col min="773" max="774" width="6.5703125" style="1" customWidth="1"/>
    <col min="775" max="775" width="17.140625" style="1" customWidth="1"/>
    <col min="776" max="776" width="0" style="1" hidden="1" customWidth="1"/>
    <col min="777" max="777" width="47" style="1" customWidth="1"/>
    <col min="778" max="780" width="0" style="1" hidden="1" customWidth="1"/>
    <col min="781" max="781" width="25.85546875" style="1" customWidth="1"/>
    <col min="782" max="795" width="8" style="1" customWidth="1"/>
    <col min="796" max="1025" width="14.42578125" style="1"/>
    <col min="1026" max="1026" width="4.7109375" style="1" customWidth="1"/>
    <col min="1027" max="1027" width="29.85546875" style="1" customWidth="1"/>
    <col min="1028" max="1028" width="16.7109375" style="1" customWidth="1"/>
    <col min="1029" max="1030" width="6.5703125" style="1" customWidth="1"/>
    <col min="1031" max="1031" width="17.140625" style="1" customWidth="1"/>
    <col min="1032" max="1032" width="0" style="1" hidden="1" customWidth="1"/>
    <col min="1033" max="1033" width="47" style="1" customWidth="1"/>
    <col min="1034" max="1036" width="0" style="1" hidden="1" customWidth="1"/>
    <col min="1037" max="1037" width="25.85546875" style="1" customWidth="1"/>
    <col min="1038" max="1051" width="8" style="1" customWidth="1"/>
    <col min="1052" max="1281" width="14.42578125" style="1"/>
    <col min="1282" max="1282" width="4.7109375" style="1" customWidth="1"/>
    <col min="1283" max="1283" width="29.85546875" style="1" customWidth="1"/>
    <col min="1284" max="1284" width="16.7109375" style="1" customWidth="1"/>
    <col min="1285" max="1286" width="6.5703125" style="1" customWidth="1"/>
    <col min="1287" max="1287" width="17.140625" style="1" customWidth="1"/>
    <col min="1288" max="1288" width="0" style="1" hidden="1" customWidth="1"/>
    <col min="1289" max="1289" width="47" style="1" customWidth="1"/>
    <col min="1290" max="1292" width="0" style="1" hidden="1" customWidth="1"/>
    <col min="1293" max="1293" width="25.85546875" style="1" customWidth="1"/>
    <col min="1294" max="1307" width="8" style="1" customWidth="1"/>
    <col min="1308" max="1537" width="14.42578125" style="1"/>
    <col min="1538" max="1538" width="4.7109375" style="1" customWidth="1"/>
    <col min="1539" max="1539" width="29.85546875" style="1" customWidth="1"/>
    <col min="1540" max="1540" width="16.7109375" style="1" customWidth="1"/>
    <col min="1541" max="1542" width="6.5703125" style="1" customWidth="1"/>
    <col min="1543" max="1543" width="17.140625" style="1" customWidth="1"/>
    <col min="1544" max="1544" width="0" style="1" hidden="1" customWidth="1"/>
    <col min="1545" max="1545" width="47" style="1" customWidth="1"/>
    <col min="1546" max="1548" width="0" style="1" hidden="1" customWidth="1"/>
    <col min="1549" max="1549" width="25.85546875" style="1" customWidth="1"/>
    <col min="1550" max="1563" width="8" style="1" customWidth="1"/>
    <col min="1564" max="1793" width="14.42578125" style="1"/>
    <col min="1794" max="1794" width="4.7109375" style="1" customWidth="1"/>
    <col min="1795" max="1795" width="29.85546875" style="1" customWidth="1"/>
    <col min="1796" max="1796" width="16.7109375" style="1" customWidth="1"/>
    <col min="1797" max="1798" width="6.5703125" style="1" customWidth="1"/>
    <col min="1799" max="1799" width="17.140625" style="1" customWidth="1"/>
    <col min="1800" max="1800" width="0" style="1" hidden="1" customWidth="1"/>
    <col min="1801" max="1801" width="47" style="1" customWidth="1"/>
    <col min="1802" max="1804" width="0" style="1" hidden="1" customWidth="1"/>
    <col min="1805" max="1805" width="25.85546875" style="1" customWidth="1"/>
    <col min="1806" max="1819" width="8" style="1" customWidth="1"/>
    <col min="1820" max="2049" width="14.42578125" style="1"/>
    <col min="2050" max="2050" width="4.7109375" style="1" customWidth="1"/>
    <col min="2051" max="2051" width="29.85546875" style="1" customWidth="1"/>
    <col min="2052" max="2052" width="16.7109375" style="1" customWidth="1"/>
    <col min="2053" max="2054" width="6.5703125" style="1" customWidth="1"/>
    <col min="2055" max="2055" width="17.140625" style="1" customWidth="1"/>
    <col min="2056" max="2056" width="0" style="1" hidden="1" customWidth="1"/>
    <col min="2057" max="2057" width="47" style="1" customWidth="1"/>
    <col min="2058" max="2060" width="0" style="1" hidden="1" customWidth="1"/>
    <col min="2061" max="2061" width="25.85546875" style="1" customWidth="1"/>
    <col min="2062" max="2075" width="8" style="1" customWidth="1"/>
    <col min="2076" max="2305" width="14.42578125" style="1"/>
    <col min="2306" max="2306" width="4.7109375" style="1" customWidth="1"/>
    <col min="2307" max="2307" width="29.85546875" style="1" customWidth="1"/>
    <col min="2308" max="2308" width="16.7109375" style="1" customWidth="1"/>
    <col min="2309" max="2310" width="6.5703125" style="1" customWidth="1"/>
    <col min="2311" max="2311" width="17.140625" style="1" customWidth="1"/>
    <col min="2312" max="2312" width="0" style="1" hidden="1" customWidth="1"/>
    <col min="2313" max="2313" width="47" style="1" customWidth="1"/>
    <col min="2314" max="2316" width="0" style="1" hidden="1" customWidth="1"/>
    <col min="2317" max="2317" width="25.85546875" style="1" customWidth="1"/>
    <col min="2318" max="2331" width="8" style="1" customWidth="1"/>
    <col min="2332" max="2561" width="14.42578125" style="1"/>
    <col min="2562" max="2562" width="4.7109375" style="1" customWidth="1"/>
    <col min="2563" max="2563" width="29.85546875" style="1" customWidth="1"/>
    <col min="2564" max="2564" width="16.7109375" style="1" customWidth="1"/>
    <col min="2565" max="2566" width="6.5703125" style="1" customWidth="1"/>
    <col min="2567" max="2567" width="17.140625" style="1" customWidth="1"/>
    <col min="2568" max="2568" width="0" style="1" hidden="1" customWidth="1"/>
    <col min="2569" max="2569" width="47" style="1" customWidth="1"/>
    <col min="2570" max="2572" width="0" style="1" hidden="1" customWidth="1"/>
    <col min="2573" max="2573" width="25.85546875" style="1" customWidth="1"/>
    <col min="2574" max="2587" width="8" style="1" customWidth="1"/>
    <col min="2588" max="2817" width="14.42578125" style="1"/>
    <col min="2818" max="2818" width="4.7109375" style="1" customWidth="1"/>
    <col min="2819" max="2819" width="29.85546875" style="1" customWidth="1"/>
    <col min="2820" max="2820" width="16.7109375" style="1" customWidth="1"/>
    <col min="2821" max="2822" width="6.5703125" style="1" customWidth="1"/>
    <col min="2823" max="2823" width="17.140625" style="1" customWidth="1"/>
    <col min="2824" max="2824" width="0" style="1" hidden="1" customWidth="1"/>
    <col min="2825" max="2825" width="47" style="1" customWidth="1"/>
    <col min="2826" max="2828" width="0" style="1" hidden="1" customWidth="1"/>
    <col min="2829" max="2829" width="25.85546875" style="1" customWidth="1"/>
    <col min="2830" max="2843" width="8" style="1" customWidth="1"/>
    <col min="2844" max="3073" width="14.42578125" style="1"/>
    <col min="3074" max="3074" width="4.7109375" style="1" customWidth="1"/>
    <col min="3075" max="3075" width="29.85546875" style="1" customWidth="1"/>
    <col min="3076" max="3076" width="16.7109375" style="1" customWidth="1"/>
    <col min="3077" max="3078" width="6.5703125" style="1" customWidth="1"/>
    <col min="3079" max="3079" width="17.140625" style="1" customWidth="1"/>
    <col min="3080" max="3080" width="0" style="1" hidden="1" customWidth="1"/>
    <col min="3081" max="3081" width="47" style="1" customWidth="1"/>
    <col min="3082" max="3084" width="0" style="1" hidden="1" customWidth="1"/>
    <col min="3085" max="3085" width="25.85546875" style="1" customWidth="1"/>
    <col min="3086" max="3099" width="8" style="1" customWidth="1"/>
    <col min="3100" max="3329" width="14.42578125" style="1"/>
    <col min="3330" max="3330" width="4.7109375" style="1" customWidth="1"/>
    <col min="3331" max="3331" width="29.85546875" style="1" customWidth="1"/>
    <col min="3332" max="3332" width="16.7109375" style="1" customWidth="1"/>
    <col min="3333" max="3334" width="6.5703125" style="1" customWidth="1"/>
    <col min="3335" max="3335" width="17.140625" style="1" customWidth="1"/>
    <col min="3336" max="3336" width="0" style="1" hidden="1" customWidth="1"/>
    <col min="3337" max="3337" width="47" style="1" customWidth="1"/>
    <col min="3338" max="3340" width="0" style="1" hidden="1" customWidth="1"/>
    <col min="3341" max="3341" width="25.85546875" style="1" customWidth="1"/>
    <col min="3342" max="3355" width="8" style="1" customWidth="1"/>
    <col min="3356" max="3585" width="14.42578125" style="1"/>
    <col min="3586" max="3586" width="4.7109375" style="1" customWidth="1"/>
    <col min="3587" max="3587" width="29.85546875" style="1" customWidth="1"/>
    <col min="3588" max="3588" width="16.7109375" style="1" customWidth="1"/>
    <col min="3589" max="3590" width="6.5703125" style="1" customWidth="1"/>
    <col min="3591" max="3591" width="17.140625" style="1" customWidth="1"/>
    <col min="3592" max="3592" width="0" style="1" hidden="1" customWidth="1"/>
    <col min="3593" max="3593" width="47" style="1" customWidth="1"/>
    <col min="3594" max="3596" width="0" style="1" hidden="1" customWidth="1"/>
    <col min="3597" max="3597" width="25.85546875" style="1" customWidth="1"/>
    <col min="3598" max="3611" width="8" style="1" customWidth="1"/>
    <col min="3612" max="3841" width="14.42578125" style="1"/>
    <col min="3842" max="3842" width="4.7109375" style="1" customWidth="1"/>
    <col min="3843" max="3843" width="29.85546875" style="1" customWidth="1"/>
    <col min="3844" max="3844" width="16.7109375" style="1" customWidth="1"/>
    <col min="3845" max="3846" width="6.5703125" style="1" customWidth="1"/>
    <col min="3847" max="3847" width="17.140625" style="1" customWidth="1"/>
    <col min="3848" max="3848" width="0" style="1" hidden="1" customWidth="1"/>
    <col min="3849" max="3849" width="47" style="1" customWidth="1"/>
    <col min="3850" max="3852" width="0" style="1" hidden="1" customWidth="1"/>
    <col min="3853" max="3853" width="25.85546875" style="1" customWidth="1"/>
    <col min="3854" max="3867" width="8" style="1" customWidth="1"/>
    <col min="3868" max="4097" width="14.42578125" style="1"/>
    <col min="4098" max="4098" width="4.7109375" style="1" customWidth="1"/>
    <col min="4099" max="4099" width="29.85546875" style="1" customWidth="1"/>
    <col min="4100" max="4100" width="16.7109375" style="1" customWidth="1"/>
    <col min="4101" max="4102" width="6.5703125" style="1" customWidth="1"/>
    <col min="4103" max="4103" width="17.140625" style="1" customWidth="1"/>
    <col min="4104" max="4104" width="0" style="1" hidden="1" customWidth="1"/>
    <col min="4105" max="4105" width="47" style="1" customWidth="1"/>
    <col min="4106" max="4108" width="0" style="1" hidden="1" customWidth="1"/>
    <col min="4109" max="4109" width="25.85546875" style="1" customWidth="1"/>
    <col min="4110" max="4123" width="8" style="1" customWidth="1"/>
    <col min="4124" max="4353" width="14.42578125" style="1"/>
    <col min="4354" max="4354" width="4.7109375" style="1" customWidth="1"/>
    <col min="4355" max="4355" width="29.85546875" style="1" customWidth="1"/>
    <col min="4356" max="4356" width="16.7109375" style="1" customWidth="1"/>
    <col min="4357" max="4358" width="6.5703125" style="1" customWidth="1"/>
    <col min="4359" max="4359" width="17.140625" style="1" customWidth="1"/>
    <col min="4360" max="4360" width="0" style="1" hidden="1" customWidth="1"/>
    <col min="4361" max="4361" width="47" style="1" customWidth="1"/>
    <col min="4362" max="4364" width="0" style="1" hidden="1" customWidth="1"/>
    <col min="4365" max="4365" width="25.85546875" style="1" customWidth="1"/>
    <col min="4366" max="4379" width="8" style="1" customWidth="1"/>
    <col min="4380" max="4609" width="14.42578125" style="1"/>
    <col min="4610" max="4610" width="4.7109375" style="1" customWidth="1"/>
    <col min="4611" max="4611" width="29.85546875" style="1" customWidth="1"/>
    <col min="4612" max="4612" width="16.7109375" style="1" customWidth="1"/>
    <col min="4613" max="4614" width="6.5703125" style="1" customWidth="1"/>
    <col min="4615" max="4615" width="17.140625" style="1" customWidth="1"/>
    <col min="4616" max="4616" width="0" style="1" hidden="1" customWidth="1"/>
    <col min="4617" max="4617" width="47" style="1" customWidth="1"/>
    <col min="4618" max="4620" width="0" style="1" hidden="1" customWidth="1"/>
    <col min="4621" max="4621" width="25.85546875" style="1" customWidth="1"/>
    <col min="4622" max="4635" width="8" style="1" customWidth="1"/>
    <col min="4636" max="4865" width="14.42578125" style="1"/>
    <col min="4866" max="4866" width="4.7109375" style="1" customWidth="1"/>
    <col min="4867" max="4867" width="29.85546875" style="1" customWidth="1"/>
    <col min="4868" max="4868" width="16.7109375" style="1" customWidth="1"/>
    <col min="4869" max="4870" width="6.5703125" style="1" customWidth="1"/>
    <col min="4871" max="4871" width="17.140625" style="1" customWidth="1"/>
    <col min="4872" max="4872" width="0" style="1" hidden="1" customWidth="1"/>
    <col min="4873" max="4873" width="47" style="1" customWidth="1"/>
    <col min="4874" max="4876" width="0" style="1" hidden="1" customWidth="1"/>
    <col min="4877" max="4877" width="25.85546875" style="1" customWidth="1"/>
    <col min="4878" max="4891" width="8" style="1" customWidth="1"/>
    <col min="4892" max="5121" width="14.42578125" style="1"/>
    <col min="5122" max="5122" width="4.7109375" style="1" customWidth="1"/>
    <col min="5123" max="5123" width="29.85546875" style="1" customWidth="1"/>
    <col min="5124" max="5124" width="16.7109375" style="1" customWidth="1"/>
    <col min="5125" max="5126" width="6.5703125" style="1" customWidth="1"/>
    <col min="5127" max="5127" width="17.140625" style="1" customWidth="1"/>
    <col min="5128" max="5128" width="0" style="1" hidden="1" customWidth="1"/>
    <col min="5129" max="5129" width="47" style="1" customWidth="1"/>
    <col min="5130" max="5132" width="0" style="1" hidden="1" customWidth="1"/>
    <col min="5133" max="5133" width="25.85546875" style="1" customWidth="1"/>
    <col min="5134" max="5147" width="8" style="1" customWidth="1"/>
    <col min="5148" max="5377" width="14.42578125" style="1"/>
    <col min="5378" max="5378" width="4.7109375" style="1" customWidth="1"/>
    <col min="5379" max="5379" width="29.85546875" style="1" customWidth="1"/>
    <col min="5380" max="5380" width="16.7109375" style="1" customWidth="1"/>
    <col min="5381" max="5382" width="6.5703125" style="1" customWidth="1"/>
    <col min="5383" max="5383" width="17.140625" style="1" customWidth="1"/>
    <col min="5384" max="5384" width="0" style="1" hidden="1" customWidth="1"/>
    <col min="5385" max="5385" width="47" style="1" customWidth="1"/>
    <col min="5386" max="5388" width="0" style="1" hidden="1" customWidth="1"/>
    <col min="5389" max="5389" width="25.85546875" style="1" customWidth="1"/>
    <col min="5390" max="5403" width="8" style="1" customWidth="1"/>
    <col min="5404" max="5633" width="14.42578125" style="1"/>
    <col min="5634" max="5634" width="4.7109375" style="1" customWidth="1"/>
    <col min="5635" max="5635" width="29.85546875" style="1" customWidth="1"/>
    <col min="5636" max="5636" width="16.7109375" style="1" customWidth="1"/>
    <col min="5637" max="5638" width="6.5703125" style="1" customWidth="1"/>
    <col min="5639" max="5639" width="17.140625" style="1" customWidth="1"/>
    <col min="5640" max="5640" width="0" style="1" hidden="1" customWidth="1"/>
    <col min="5641" max="5641" width="47" style="1" customWidth="1"/>
    <col min="5642" max="5644" width="0" style="1" hidden="1" customWidth="1"/>
    <col min="5645" max="5645" width="25.85546875" style="1" customWidth="1"/>
    <col min="5646" max="5659" width="8" style="1" customWidth="1"/>
    <col min="5660" max="5889" width="14.42578125" style="1"/>
    <col min="5890" max="5890" width="4.7109375" style="1" customWidth="1"/>
    <col min="5891" max="5891" width="29.85546875" style="1" customWidth="1"/>
    <col min="5892" max="5892" width="16.7109375" style="1" customWidth="1"/>
    <col min="5893" max="5894" width="6.5703125" style="1" customWidth="1"/>
    <col min="5895" max="5895" width="17.140625" style="1" customWidth="1"/>
    <col min="5896" max="5896" width="0" style="1" hidden="1" customWidth="1"/>
    <col min="5897" max="5897" width="47" style="1" customWidth="1"/>
    <col min="5898" max="5900" width="0" style="1" hidden="1" customWidth="1"/>
    <col min="5901" max="5901" width="25.85546875" style="1" customWidth="1"/>
    <col min="5902" max="5915" width="8" style="1" customWidth="1"/>
    <col min="5916" max="6145" width="14.42578125" style="1"/>
    <col min="6146" max="6146" width="4.7109375" style="1" customWidth="1"/>
    <col min="6147" max="6147" width="29.85546875" style="1" customWidth="1"/>
    <col min="6148" max="6148" width="16.7109375" style="1" customWidth="1"/>
    <col min="6149" max="6150" width="6.5703125" style="1" customWidth="1"/>
    <col min="6151" max="6151" width="17.140625" style="1" customWidth="1"/>
    <col min="6152" max="6152" width="0" style="1" hidden="1" customWidth="1"/>
    <col min="6153" max="6153" width="47" style="1" customWidth="1"/>
    <col min="6154" max="6156" width="0" style="1" hidden="1" customWidth="1"/>
    <col min="6157" max="6157" width="25.85546875" style="1" customWidth="1"/>
    <col min="6158" max="6171" width="8" style="1" customWidth="1"/>
    <col min="6172" max="6401" width="14.42578125" style="1"/>
    <col min="6402" max="6402" width="4.7109375" style="1" customWidth="1"/>
    <col min="6403" max="6403" width="29.85546875" style="1" customWidth="1"/>
    <col min="6404" max="6404" width="16.7109375" style="1" customWidth="1"/>
    <col min="6405" max="6406" width="6.5703125" style="1" customWidth="1"/>
    <col min="6407" max="6407" width="17.140625" style="1" customWidth="1"/>
    <col min="6408" max="6408" width="0" style="1" hidden="1" customWidth="1"/>
    <col min="6409" max="6409" width="47" style="1" customWidth="1"/>
    <col min="6410" max="6412" width="0" style="1" hidden="1" customWidth="1"/>
    <col min="6413" max="6413" width="25.85546875" style="1" customWidth="1"/>
    <col min="6414" max="6427" width="8" style="1" customWidth="1"/>
    <col min="6428" max="6657" width="14.42578125" style="1"/>
    <col min="6658" max="6658" width="4.7109375" style="1" customWidth="1"/>
    <col min="6659" max="6659" width="29.85546875" style="1" customWidth="1"/>
    <col min="6660" max="6660" width="16.7109375" style="1" customWidth="1"/>
    <col min="6661" max="6662" width="6.5703125" style="1" customWidth="1"/>
    <col min="6663" max="6663" width="17.140625" style="1" customWidth="1"/>
    <col min="6664" max="6664" width="0" style="1" hidden="1" customWidth="1"/>
    <col min="6665" max="6665" width="47" style="1" customWidth="1"/>
    <col min="6666" max="6668" width="0" style="1" hidden="1" customWidth="1"/>
    <col min="6669" max="6669" width="25.85546875" style="1" customWidth="1"/>
    <col min="6670" max="6683" width="8" style="1" customWidth="1"/>
    <col min="6684" max="6913" width="14.42578125" style="1"/>
    <col min="6914" max="6914" width="4.7109375" style="1" customWidth="1"/>
    <col min="6915" max="6915" width="29.85546875" style="1" customWidth="1"/>
    <col min="6916" max="6916" width="16.7109375" style="1" customWidth="1"/>
    <col min="6917" max="6918" width="6.5703125" style="1" customWidth="1"/>
    <col min="6919" max="6919" width="17.140625" style="1" customWidth="1"/>
    <col min="6920" max="6920" width="0" style="1" hidden="1" customWidth="1"/>
    <col min="6921" max="6921" width="47" style="1" customWidth="1"/>
    <col min="6922" max="6924" width="0" style="1" hidden="1" customWidth="1"/>
    <col min="6925" max="6925" width="25.85546875" style="1" customWidth="1"/>
    <col min="6926" max="6939" width="8" style="1" customWidth="1"/>
    <col min="6940" max="7169" width="14.42578125" style="1"/>
    <col min="7170" max="7170" width="4.7109375" style="1" customWidth="1"/>
    <col min="7171" max="7171" width="29.85546875" style="1" customWidth="1"/>
    <col min="7172" max="7172" width="16.7109375" style="1" customWidth="1"/>
    <col min="7173" max="7174" width="6.5703125" style="1" customWidth="1"/>
    <col min="7175" max="7175" width="17.140625" style="1" customWidth="1"/>
    <col min="7176" max="7176" width="0" style="1" hidden="1" customWidth="1"/>
    <col min="7177" max="7177" width="47" style="1" customWidth="1"/>
    <col min="7178" max="7180" width="0" style="1" hidden="1" customWidth="1"/>
    <col min="7181" max="7181" width="25.85546875" style="1" customWidth="1"/>
    <col min="7182" max="7195" width="8" style="1" customWidth="1"/>
    <col min="7196" max="7425" width="14.42578125" style="1"/>
    <col min="7426" max="7426" width="4.7109375" style="1" customWidth="1"/>
    <col min="7427" max="7427" width="29.85546875" style="1" customWidth="1"/>
    <col min="7428" max="7428" width="16.7109375" style="1" customWidth="1"/>
    <col min="7429" max="7430" width="6.5703125" style="1" customWidth="1"/>
    <col min="7431" max="7431" width="17.140625" style="1" customWidth="1"/>
    <col min="7432" max="7432" width="0" style="1" hidden="1" customWidth="1"/>
    <col min="7433" max="7433" width="47" style="1" customWidth="1"/>
    <col min="7434" max="7436" width="0" style="1" hidden="1" customWidth="1"/>
    <col min="7437" max="7437" width="25.85546875" style="1" customWidth="1"/>
    <col min="7438" max="7451" width="8" style="1" customWidth="1"/>
    <col min="7452" max="7681" width="14.42578125" style="1"/>
    <col min="7682" max="7682" width="4.7109375" style="1" customWidth="1"/>
    <col min="7683" max="7683" width="29.85546875" style="1" customWidth="1"/>
    <col min="7684" max="7684" width="16.7109375" style="1" customWidth="1"/>
    <col min="7685" max="7686" width="6.5703125" style="1" customWidth="1"/>
    <col min="7687" max="7687" width="17.140625" style="1" customWidth="1"/>
    <col min="7688" max="7688" width="0" style="1" hidden="1" customWidth="1"/>
    <col min="7689" max="7689" width="47" style="1" customWidth="1"/>
    <col min="7690" max="7692" width="0" style="1" hidden="1" customWidth="1"/>
    <col min="7693" max="7693" width="25.85546875" style="1" customWidth="1"/>
    <col min="7694" max="7707" width="8" style="1" customWidth="1"/>
    <col min="7708" max="7937" width="14.42578125" style="1"/>
    <col min="7938" max="7938" width="4.7109375" style="1" customWidth="1"/>
    <col min="7939" max="7939" width="29.85546875" style="1" customWidth="1"/>
    <col min="7940" max="7940" width="16.7109375" style="1" customWidth="1"/>
    <col min="7941" max="7942" width="6.5703125" style="1" customWidth="1"/>
    <col min="7943" max="7943" width="17.140625" style="1" customWidth="1"/>
    <col min="7944" max="7944" width="0" style="1" hidden="1" customWidth="1"/>
    <col min="7945" max="7945" width="47" style="1" customWidth="1"/>
    <col min="7946" max="7948" width="0" style="1" hidden="1" customWidth="1"/>
    <col min="7949" max="7949" width="25.85546875" style="1" customWidth="1"/>
    <col min="7950" max="7963" width="8" style="1" customWidth="1"/>
    <col min="7964" max="8193" width="14.42578125" style="1"/>
    <col min="8194" max="8194" width="4.7109375" style="1" customWidth="1"/>
    <col min="8195" max="8195" width="29.85546875" style="1" customWidth="1"/>
    <col min="8196" max="8196" width="16.7109375" style="1" customWidth="1"/>
    <col min="8197" max="8198" width="6.5703125" style="1" customWidth="1"/>
    <col min="8199" max="8199" width="17.140625" style="1" customWidth="1"/>
    <col min="8200" max="8200" width="0" style="1" hidden="1" customWidth="1"/>
    <col min="8201" max="8201" width="47" style="1" customWidth="1"/>
    <col min="8202" max="8204" width="0" style="1" hidden="1" customWidth="1"/>
    <col min="8205" max="8205" width="25.85546875" style="1" customWidth="1"/>
    <col min="8206" max="8219" width="8" style="1" customWidth="1"/>
    <col min="8220" max="8449" width="14.42578125" style="1"/>
    <col min="8450" max="8450" width="4.7109375" style="1" customWidth="1"/>
    <col min="8451" max="8451" width="29.85546875" style="1" customWidth="1"/>
    <col min="8452" max="8452" width="16.7109375" style="1" customWidth="1"/>
    <col min="8453" max="8454" width="6.5703125" style="1" customWidth="1"/>
    <col min="8455" max="8455" width="17.140625" style="1" customWidth="1"/>
    <col min="8456" max="8456" width="0" style="1" hidden="1" customWidth="1"/>
    <col min="8457" max="8457" width="47" style="1" customWidth="1"/>
    <col min="8458" max="8460" width="0" style="1" hidden="1" customWidth="1"/>
    <col min="8461" max="8461" width="25.85546875" style="1" customWidth="1"/>
    <col min="8462" max="8475" width="8" style="1" customWidth="1"/>
    <col min="8476" max="8705" width="14.42578125" style="1"/>
    <col min="8706" max="8706" width="4.7109375" style="1" customWidth="1"/>
    <col min="8707" max="8707" width="29.85546875" style="1" customWidth="1"/>
    <col min="8708" max="8708" width="16.7109375" style="1" customWidth="1"/>
    <col min="8709" max="8710" width="6.5703125" style="1" customWidth="1"/>
    <col min="8711" max="8711" width="17.140625" style="1" customWidth="1"/>
    <col min="8712" max="8712" width="0" style="1" hidden="1" customWidth="1"/>
    <col min="8713" max="8713" width="47" style="1" customWidth="1"/>
    <col min="8714" max="8716" width="0" style="1" hidden="1" customWidth="1"/>
    <col min="8717" max="8717" width="25.85546875" style="1" customWidth="1"/>
    <col min="8718" max="8731" width="8" style="1" customWidth="1"/>
    <col min="8732" max="8961" width="14.42578125" style="1"/>
    <col min="8962" max="8962" width="4.7109375" style="1" customWidth="1"/>
    <col min="8963" max="8963" width="29.85546875" style="1" customWidth="1"/>
    <col min="8964" max="8964" width="16.7109375" style="1" customWidth="1"/>
    <col min="8965" max="8966" width="6.5703125" style="1" customWidth="1"/>
    <col min="8967" max="8967" width="17.140625" style="1" customWidth="1"/>
    <col min="8968" max="8968" width="0" style="1" hidden="1" customWidth="1"/>
    <col min="8969" max="8969" width="47" style="1" customWidth="1"/>
    <col min="8970" max="8972" width="0" style="1" hidden="1" customWidth="1"/>
    <col min="8973" max="8973" width="25.85546875" style="1" customWidth="1"/>
    <col min="8974" max="8987" width="8" style="1" customWidth="1"/>
    <col min="8988" max="9217" width="14.42578125" style="1"/>
    <col min="9218" max="9218" width="4.7109375" style="1" customWidth="1"/>
    <col min="9219" max="9219" width="29.85546875" style="1" customWidth="1"/>
    <col min="9220" max="9220" width="16.7109375" style="1" customWidth="1"/>
    <col min="9221" max="9222" width="6.5703125" style="1" customWidth="1"/>
    <col min="9223" max="9223" width="17.140625" style="1" customWidth="1"/>
    <col min="9224" max="9224" width="0" style="1" hidden="1" customWidth="1"/>
    <col min="9225" max="9225" width="47" style="1" customWidth="1"/>
    <col min="9226" max="9228" width="0" style="1" hidden="1" customWidth="1"/>
    <col min="9229" max="9229" width="25.85546875" style="1" customWidth="1"/>
    <col min="9230" max="9243" width="8" style="1" customWidth="1"/>
    <col min="9244" max="9473" width="14.42578125" style="1"/>
    <col min="9474" max="9474" width="4.7109375" style="1" customWidth="1"/>
    <col min="9475" max="9475" width="29.85546875" style="1" customWidth="1"/>
    <col min="9476" max="9476" width="16.7109375" style="1" customWidth="1"/>
    <col min="9477" max="9478" width="6.5703125" style="1" customWidth="1"/>
    <col min="9479" max="9479" width="17.140625" style="1" customWidth="1"/>
    <col min="9480" max="9480" width="0" style="1" hidden="1" customWidth="1"/>
    <col min="9481" max="9481" width="47" style="1" customWidth="1"/>
    <col min="9482" max="9484" width="0" style="1" hidden="1" customWidth="1"/>
    <col min="9485" max="9485" width="25.85546875" style="1" customWidth="1"/>
    <col min="9486" max="9499" width="8" style="1" customWidth="1"/>
    <col min="9500" max="9729" width="14.42578125" style="1"/>
    <col min="9730" max="9730" width="4.7109375" style="1" customWidth="1"/>
    <col min="9731" max="9731" width="29.85546875" style="1" customWidth="1"/>
    <col min="9732" max="9732" width="16.7109375" style="1" customWidth="1"/>
    <col min="9733" max="9734" width="6.5703125" style="1" customWidth="1"/>
    <col min="9735" max="9735" width="17.140625" style="1" customWidth="1"/>
    <col min="9736" max="9736" width="0" style="1" hidden="1" customWidth="1"/>
    <col min="9737" max="9737" width="47" style="1" customWidth="1"/>
    <col min="9738" max="9740" width="0" style="1" hidden="1" customWidth="1"/>
    <col min="9741" max="9741" width="25.85546875" style="1" customWidth="1"/>
    <col min="9742" max="9755" width="8" style="1" customWidth="1"/>
    <col min="9756" max="9985" width="14.42578125" style="1"/>
    <col min="9986" max="9986" width="4.7109375" style="1" customWidth="1"/>
    <col min="9987" max="9987" width="29.85546875" style="1" customWidth="1"/>
    <col min="9988" max="9988" width="16.7109375" style="1" customWidth="1"/>
    <col min="9989" max="9990" width="6.5703125" style="1" customWidth="1"/>
    <col min="9991" max="9991" width="17.140625" style="1" customWidth="1"/>
    <col min="9992" max="9992" width="0" style="1" hidden="1" customWidth="1"/>
    <col min="9993" max="9993" width="47" style="1" customWidth="1"/>
    <col min="9994" max="9996" width="0" style="1" hidden="1" customWidth="1"/>
    <col min="9997" max="9997" width="25.85546875" style="1" customWidth="1"/>
    <col min="9998" max="10011" width="8" style="1" customWidth="1"/>
    <col min="10012" max="10241" width="14.42578125" style="1"/>
    <col min="10242" max="10242" width="4.7109375" style="1" customWidth="1"/>
    <col min="10243" max="10243" width="29.85546875" style="1" customWidth="1"/>
    <col min="10244" max="10244" width="16.7109375" style="1" customWidth="1"/>
    <col min="10245" max="10246" width="6.5703125" style="1" customWidth="1"/>
    <col min="10247" max="10247" width="17.140625" style="1" customWidth="1"/>
    <col min="10248" max="10248" width="0" style="1" hidden="1" customWidth="1"/>
    <col min="10249" max="10249" width="47" style="1" customWidth="1"/>
    <col min="10250" max="10252" width="0" style="1" hidden="1" customWidth="1"/>
    <col min="10253" max="10253" width="25.85546875" style="1" customWidth="1"/>
    <col min="10254" max="10267" width="8" style="1" customWidth="1"/>
    <col min="10268" max="10497" width="14.42578125" style="1"/>
    <col min="10498" max="10498" width="4.7109375" style="1" customWidth="1"/>
    <col min="10499" max="10499" width="29.85546875" style="1" customWidth="1"/>
    <col min="10500" max="10500" width="16.7109375" style="1" customWidth="1"/>
    <col min="10501" max="10502" width="6.5703125" style="1" customWidth="1"/>
    <col min="10503" max="10503" width="17.140625" style="1" customWidth="1"/>
    <col min="10504" max="10504" width="0" style="1" hidden="1" customWidth="1"/>
    <col min="10505" max="10505" width="47" style="1" customWidth="1"/>
    <col min="10506" max="10508" width="0" style="1" hidden="1" customWidth="1"/>
    <col min="10509" max="10509" width="25.85546875" style="1" customWidth="1"/>
    <col min="10510" max="10523" width="8" style="1" customWidth="1"/>
    <col min="10524" max="10753" width="14.42578125" style="1"/>
    <col min="10754" max="10754" width="4.7109375" style="1" customWidth="1"/>
    <col min="10755" max="10755" width="29.85546875" style="1" customWidth="1"/>
    <col min="10756" max="10756" width="16.7109375" style="1" customWidth="1"/>
    <col min="10757" max="10758" width="6.5703125" style="1" customWidth="1"/>
    <col min="10759" max="10759" width="17.140625" style="1" customWidth="1"/>
    <col min="10760" max="10760" width="0" style="1" hidden="1" customWidth="1"/>
    <col min="10761" max="10761" width="47" style="1" customWidth="1"/>
    <col min="10762" max="10764" width="0" style="1" hidden="1" customWidth="1"/>
    <col min="10765" max="10765" width="25.85546875" style="1" customWidth="1"/>
    <col min="10766" max="10779" width="8" style="1" customWidth="1"/>
    <col min="10780" max="11009" width="14.42578125" style="1"/>
    <col min="11010" max="11010" width="4.7109375" style="1" customWidth="1"/>
    <col min="11011" max="11011" width="29.85546875" style="1" customWidth="1"/>
    <col min="11012" max="11012" width="16.7109375" style="1" customWidth="1"/>
    <col min="11013" max="11014" width="6.5703125" style="1" customWidth="1"/>
    <col min="11015" max="11015" width="17.140625" style="1" customWidth="1"/>
    <col min="11016" max="11016" width="0" style="1" hidden="1" customWidth="1"/>
    <col min="11017" max="11017" width="47" style="1" customWidth="1"/>
    <col min="11018" max="11020" width="0" style="1" hidden="1" customWidth="1"/>
    <col min="11021" max="11021" width="25.85546875" style="1" customWidth="1"/>
    <col min="11022" max="11035" width="8" style="1" customWidth="1"/>
    <col min="11036" max="11265" width="14.42578125" style="1"/>
    <col min="11266" max="11266" width="4.7109375" style="1" customWidth="1"/>
    <col min="11267" max="11267" width="29.85546875" style="1" customWidth="1"/>
    <col min="11268" max="11268" width="16.7109375" style="1" customWidth="1"/>
    <col min="11269" max="11270" width="6.5703125" style="1" customWidth="1"/>
    <col min="11271" max="11271" width="17.140625" style="1" customWidth="1"/>
    <col min="11272" max="11272" width="0" style="1" hidden="1" customWidth="1"/>
    <col min="11273" max="11273" width="47" style="1" customWidth="1"/>
    <col min="11274" max="11276" width="0" style="1" hidden="1" customWidth="1"/>
    <col min="11277" max="11277" width="25.85546875" style="1" customWidth="1"/>
    <col min="11278" max="11291" width="8" style="1" customWidth="1"/>
    <col min="11292" max="11521" width="14.42578125" style="1"/>
    <col min="11522" max="11522" width="4.7109375" style="1" customWidth="1"/>
    <col min="11523" max="11523" width="29.85546875" style="1" customWidth="1"/>
    <col min="11524" max="11524" width="16.7109375" style="1" customWidth="1"/>
    <col min="11525" max="11526" width="6.5703125" style="1" customWidth="1"/>
    <col min="11527" max="11527" width="17.140625" style="1" customWidth="1"/>
    <col min="11528" max="11528" width="0" style="1" hidden="1" customWidth="1"/>
    <col min="11529" max="11529" width="47" style="1" customWidth="1"/>
    <col min="11530" max="11532" width="0" style="1" hidden="1" customWidth="1"/>
    <col min="11533" max="11533" width="25.85546875" style="1" customWidth="1"/>
    <col min="11534" max="11547" width="8" style="1" customWidth="1"/>
    <col min="11548" max="11777" width="14.42578125" style="1"/>
    <col min="11778" max="11778" width="4.7109375" style="1" customWidth="1"/>
    <col min="11779" max="11779" width="29.85546875" style="1" customWidth="1"/>
    <col min="11780" max="11780" width="16.7109375" style="1" customWidth="1"/>
    <col min="11781" max="11782" width="6.5703125" style="1" customWidth="1"/>
    <col min="11783" max="11783" width="17.140625" style="1" customWidth="1"/>
    <col min="11784" max="11784" width="0" style="1" hidden="1" customWidth="1"/>
    <col min="11785" max="11785" width="47" style="1" customWidth="1"/>
    <col min="11786" max="11788" width="0" style="1" hidden="1" customWidth="1"/>
    <col min="11789" max="11789" width="25.85546875" style="1" customWidth="1"/>
    <col min="11790" max="11803" width="8" style="1" customWidth="1"/>
    <col min="11804" max="12033" width="14.42578125" style="1"/>
    <col min="12034" max="12034" width="4.7109375" style="1" customWidth="1"/>
    <col min="12035" max="12035" width="29.85546875" style="1" customWidth="1"/>
    <col min="12036" max="12036" width="16.7109375" style="1" customWidth="1"/>
    <col min="12037" max="12038" width="6.5703125" style="1" customWidth="1"/>
    <col min="12039" max="12039" width="17.140625" style="1" customWidth="1"/>
    <col min="12040" max="12040" width="0" style="1" hidden="1" customWidth="1"/>
    <col min="12041" max="12041" width="47" style="1" customWidth="1"/>
    <col min="12042" max="12044" width="0" style="1" hidden="1" customWidth="1"/>
    <col min="12045" max="12045" width="25.85546875" style="1" customWidth="1"/>
    <col min="12046" max="12059" width="8" style="1" customWidth="1"/>
    <col min="12060" max="12289" width="14.42578125" style="1"/>
    <col min="12290" max="12290" width="4.7109375" style="1" customWidth="1"/>
    <col min="12291" max="12291" width="29.85546875" style="1" customWidth="1"/>
    <col min="12292" max="12292" width="16.7109375" style="1" customWidth="1"/>
    <col min="12293" max="12294" width="6.5703125" style="1" customWidth="1"/>
    <col min="12295" max="12295" width="17.140625" style="1" customWidth="1"/>
    <col min="12296" max="12296" width="0" style="1" hidden="1" customWidth="1"/>
    <col min="12297" max="12297" width="47" style="1" customWidth="1"/>
    <col min="12298" max="12300" width="0" style="1" hidden="1" customWidth="1"/>
    <col min="12301" max="12301" width="25.85546875" style="1" customWidth="1"/>
    <col min="12302" max="12315" width="8" style="1" customWidth="1"/>
    <col min="12316" max="12545" width="14.42578125" style="1"/>
    <col min="12546" max="12546" width="4.7109375" style="1" customWidth="1"/>
    <col min="12547" max="12547" width="29.85546875" style="1" customWidth="1"/>
    <col min="12548" max="12548" width="16.7109375" style="1" customWidth="1"/>
    <col min="12549" max="12550" width="6.5703125" style="1" customWidth="1"/>
    <col min="12551" max="12551" width="17.140625" style="1" customWidth="1"/>
    <col min="12552" max="12552" width="0" style="1" hidden="1" customWidth="1"/>
    <col min="12553" max="12553" width="47" style="1" customWidth="1"/>
    <col min="12554" max="12556" width="0" style="1" hidden="1" customWidth="1"/>
    <col min="12557" max="12557" width="25.85546875" style="1" customWidth="1"/>
    <col min="12558" max="12571" width="8" style="1" customWidth="1"/>
    <col min="12572" max="12801" width="14.42578125" style="1"/>
    <col min="12802" max="12802" width="4.7109375" style="1" customWidth="1"/>
    <col min="12803" max="12803" width="29.85546875" style="1" customWidth="1"/>
    <col min="12804" max="12804" width="16.7109375" style="1" customWidth="1"/>
    <col min="12805" max="12806" width="6.5703125" style="1" customWidth="1"/>
    <col min="12807" max="12807" width="17.140625" style="1" customWidth="1"/>
    <col min="12808" max="12808" width="0" style="1" hidden="1" customWidth="1"/>
    <col min="12809" max="12809" width="47" style="1" customWidth="1"/>
    <col min="12810" max="12812" width="0" style="1" hidden="1" customWidth="1"/>
    <col min="12813" max="12813" width="25.85546875" style="1" customWidth="1"/>
    <col min="12814" max="12827" width="8" style="1" customWidth="1"/>
    <col min="12828" max="13057" width="14.42578125" style="1"/>
    <col min="13058" max="13058" width="4.7109375" style="1" customWidth="1"/>
    <col min="13059" max="13059" width="29.85546875" style="1" customWidth="1"/>
    <col min="13060" max="13060" width="16.7109375" style="1" customWidth="1"/>
    <col min="13061" max="13062" width="6.5703125" style="1" customWidth="1"/>
    <col min="13063" max="13063" width="17.140625" style="1" customWidth="1"/>
    <col min="13064" max="13064" width="0" style="1" hidden="1" customWidth="1"/>
    <col min="13065" max="13065" width="47" style="1" customWidth="1"/>
    <col min="13066" max="13068" width="0" style="1" hidden="1" customWidth="1"/>
    <col min="13069" max="13069" width="25.85546875" style="1" customWidth="1"/>
    <col min="13070" max="13083" width="8" style="1" customWidth="1"/>
    <col min="13084" max="13313" width="14.42578125" style="1"/>
    <col min="13314" max="13314" width="4.7109375" style="1" customWidth="1"/>
    <col min="13315" max="13315" width="29.85546875" style="1" customWidth="1"/>
    <col min="13316" max="13316" width="16.7109375" style="1" customWidth="1"/>
    <col min="13317" max="13318" width="6.5703125" style="1" customWidth="1"/>
    <col min="13319" max="13319" width="17.140625" style="1" customWidth="1"/>
    <col min="13320" max="13320" width="0" style="1" hidden="1" customWidth="1"/>
    <col min="13321" max="13321" width="47" style="1" customWidth="1"/>
    <col min="13322" max="13324" width="0" style="1" hidden="1" customWidth="1"/>
    <col min="13325" max="13325" width="25.85546875" style="1" customWidth="1"/>
    <col min="13326" max="13339" width="8" style="1" customWidth="1"/>
    <col min="13340" max="13569" width="14.42578125" style="1"/>
    <col min="13570" max="13570" width="4.7109375" style="1" customWidth="1"/>
    <col min="13571" max="13571" width="29.85546875" style="1" customWidth="1"/>
    <col min="13572" max="13572" width="16.7109375" style="1" customWidth="1"/>
    <col min="13573" max="13574" width="6.5703125" style="1" customWidth="1"/>
    <col min="13575" max="13575" width="17.140625" style="1" customWidth="1"/>
    <col min="13576" max="13576" width="0" style="1" hidden="1" customWidth="1"/>
    <col min="13577" max="13577" width="47" style="1" customWidth="1"/>
    <col min="13578" max="13580" width="0" style="1" hidden="1" customWidth="1"/>
    <col min="13581" max="13581" width="25.85546875" style="1" customWidth="1"/>
    <col min="13582" max="13595" width="8" style="1" customWidth="1"/>
    <col min="13596" max="13825" width="14.42578125" style="1"/>
    <col min="13826" max="13826" width="4.7109375" style="1" customWidth="1"/>
    <col min="13827" max="13827" width="29.85546875" style="1" customWidth="1"/>
    <col min="13828" max="13828" width="16.7109375" style="1" customWidth="1"/>
    <col min="13829" max="13830" width="6.5703125" style="1" customWidth="1"/>
    <col min="13831" max="13831" width="17.140625" style="1" customWidth="1"/>
    <col min="13832" max="13832" width="0" style="1" hidden="1" customWidth="1"/>
    <col min="13833" max="13833" width="47" style="1" customWidth="1"/>
    <col min="13834" max="13836" width="0" style="1" hidden="1" customWidth="1"/>
    <col min="13837" max="13837" width="25.85546875" style="1" customWidth="1"/>
    <col min="13838" max="13851" width="8" style="1" customWidth="1"/>
    <col min="13852" max="14081" width="14.42578125" style="1"/>
    <col min="14082" max="14082" width="4.7109375" style="1" customWidth="1"/>
    <col min="14083" max="14083" width="29.85546875" style="1" customWidth="1"/>
    <col min="14084" max="14084" width="16.7109375" style="1" customWidth="1"/>
    <col min="14085" max="14086" width="6.5703125" style="1" customWidth="1"/>
    <col min="14087" max="14087" width="17.140625" style="1" customWidth="1"/>
    <col min="14088" max="14088" width="0" style="1" hidden="1" customWidth="1"/>
    <col min="14089" max="14089" width="47" style="1" customWidth="1"/>
    <col min="14090" max="14092" width="0" style="1" hidden="1" customWidth="1"/>
    <col min="14093" max="14093" width="25.85546875" style="1" customWidth="1"/>
    <col min="14094" max="14107" width="8" style="1" customWidth="1"/>
    <col min="14108" max="14337" width="14.42578125" style="1"/>
    <col min="14338" max="14338" width="4.7109375" style="1" customWidth="1"/>
    <col min="14339" max="14339" width="29.85546875" style="1" customWidth="1"/>
    <col min="14340" max="14340" width="16.7109375" style="1" customWidth="1"/>
    <col min="14341" max="14342" width="6.5703125" style="1" customWidth="1"/>
    <col min="14343" max="14343" width="17.140625" style="1" customWidth="1"/>
    <col min="14344" max="14344" width="0" style="1" hidden="1" customWidth="1"/>
    <col min="14345" max="14345" width="47" style="1" customWidth="1"/>
    <col min="14346" max="14348" width="0" style="1" hidden="1" customWidth="1"/>
    <col min="14349" max="14349" width="25.85546875" style="1" customWidth="1"/>
    <col min="14350" max="14363" width="8" style="1" customWidth="1"/>
    <col min="14364" max="14593" width="14.42578125" style="1"/>
    <col min="14594" max="14594" width="4.7109375" style="1" customWidth="1"/>
    <col min="14595" max="14595" width="29.85546875" style="1" customWidth="1"/>
    <col min="14596" max="14596" width="16.7109375" style="1" customWidth="1"/>
    <col min="14597" max="14598" width="6.5703125" style="1" customWidth="1"/>
    <col min="14599" max="14599" width="17.140625" style="1" customWidth="1"/>
    <col min="14600" max="14600" width="0" style="1" hidden="1" customWidth="1"/>
    <col min="14601" max="14601" width="47" style="1" customWidth="1"/>
    <col min="14602" max="14604" width="0" style="1" hidden="1" customWidth="1"/>
    <col min="14605" max="14605" width="25.85546875" style="1" customWidth="1"/>
    <col min="14606" max="14619" width="8" style="1" customWidth="1"/>
    <col min="14620" max="14849" width="14.42578125" style="1"/>
    <col min="14850" max="14850" width="4.7109375" style="1" customWidth="1"/>
    <col min="14851" max="14851" width="29.85546875" style="1" customWidth="1"/>
    <col min="14852" max="14852" width="16.7109375" style="1" customWidth="1"/>
    <col min="14853" max="14854" width="6.5703125" style="1" customWidth="1"/>
    <col min="14855" max="14855" width="17.140625" style="1" customWidth="1"/>
    <col min="14856" max="14856" width="0" style="1" hidden="1" customWidth="1"/>
    <col min="14857" max="14857" width="47" style="1" customWidth="1"/>
    <col min="14858" max="14860" width="0" style="1" hidden="1" customWidth="1"/>
    <col min="14861" max="14861" width="25.85546875" style="1" customWidth="1"/>
    <col min="14862" max="14875" width="8" style="1" customWidth="1"/>
    <col min="14876" max="15105" width="14.42578125" style="1"/>
    <col min="15106" max="15106" width="4.7109375" style="1" customWidth="1"/>
    <col min="15107" max="15107" width="29.85546875" style="1" customWidth="1"/>
    <col min="15108" max="15108" width="16.7109375" style="1" customWidth="1"/>
    <col min="15109" max="15110" width="6.5703125" style="1" customWidth="1"/>
    <col min="15111" max="15111" width="17.140625" style="1" customWidth="1"/>
    <col min="15112" max="15112" width="0" style="1" hidden="1" customWidth="1"/>
    <col min="15113" max="15113" width="47" style="1" customWidth="1"/>
    <col min="15114" max="15116" width="0" style="1" hidden="1" customWidth="1"/>
    <col min="15117" max="15117" width="25.85546875" style="1" customWidth="1"/>
    <col min="15118" max="15131" width="8" style="1" customWidth="1"/>
    <col min="15132" max="15361" width="14.42578125" style="1"/>
    <col min="15362" max="15362" width="4.7109375" style="1" customWidth="1"/>
    <col min="15363" max="15363" width="29.85546875" style="1" customWidth="1"/>
    <col min="15364" max="15364" width="16.7109375" style="1" customWidth="1"/>
    <col min="15365" max="15366" width="6.5703125" style="1" customWidth="1"/>
    <col min="15367" max="15367" width="17.140625" style="1" customWidth="1"/>
    <col min="15368" max="15368" width="0" style="1" hidden="1" customWidth="1"/>
    <col min="15369" max="15369" width="47" style="1" customWidth="1"/>
    <col min="15370" max="15372" width="0" style="1" hidden="1" customWidth="1"/>
    <col min="15373" max="15373" width="25.85546875" style="1" customWidth="1"/>
    <col min="15374" max="15387" width="8" style="1" customWidth="1"/>
    <col min="15388" max="15617" width="14.42578125" style="1"/>
    <col min="15618" max="15618" width="4.7109375" style="1" customWidth="1"/>
    <col min="15619" max="15619" width="29.85546875" style="1" customWidth="1"/>
    <col min="15620" max="15620" width="16.7109375" style="1" customWidth="1"/>
    <col min="15621" max="15622" width="6.5703125" style="1" customWidth="1"/>
    <col min="15623" max="15623" width="17.140625" style="1" customWidth="1"/>
    <col min="15624" max="15624" width="0" style="1" hidden="1" customWidth="1"/>
    <col min="15625" max="15625" width="47" style="1" customWidth="1"/>
    <col min="15626" max="15628" width="0" style="1" hidden="1" customWidth="1"/>
    <col min="15629" max="15629" width="25.85546875" style="1" customWidth="1"/>
    <col min="15630" max="15643" width="8" style="1" customWidth="1"/>
    <col min="15644" max="15873" width="14.42578125" style="1"/>
    <col min="15874" max="15874" width="4.7109375" style="1" customWidth="1"/>
    <col min="15875" max="15875" width="29.85546875" style="1" customWidth="1"/>
    <col min="15876" max="15876" width="16.7109375" style="1" customWidth="1"/>
    <col min="15877" max="15878" width="6.5703125" style="1" customWidth="1"/>
    <col min="15879" max="15879" width="17.140625" style="1" customWidth="1"/>
    <col min="15880" max="15880" width="0" style="1" hidden="1" customWidth="1"/>
    <col min="15881" max="15881" width="47" style="1" customWidth="1"/>
    <col min="15882" max="15884" width="0" style="1" hidden="1" customWidth="1"/>
    <col min="15885" max="15885" width="25.85546875" style="1" customWidth="1"/>
    <col min="15886" max="15899" width="8" style="1" customWidth="1"/>
    <col min="15900" max="16129" width="14.42578125" style="1"/>
    <col min="16130" max="16130" width="4.7109375" style="1" customWidth="1"/>
    <col min="16131" max="16131" width="29.85546875" style="1" customWidth="1"/>
    <col min="16132" max="16132" width="16.7109375" style="1" customWidth="1"/>
    <col min="16133" max="16134" width="6.5703125" style="1" customWidth="1"/>
    <col min="16135" max="16135" width="17.140625" style="1" customWidth="1"/>
    <col min="16136" max="16136" width="0" style="1" hidden="1" customWidth="1"/>
    <col min="16137" max="16137" width="47" style="1" customWidth="1"/>
    <col min="16138" max="16140" width="0" style="1" hidden="1" customWidth="1"/>
    <col min="16141" max="16141" width="25.85546875" style="1" customWidth="1"/>
    <col min="16142" max="16155" width="8" style="1" customWidth="1"/>
    <col min="16156" max="16384" width="14.42578125" style="1"/>
  </cols>
  <sheetData>
    <row r="1" spans="1:27" ht="12.75" customHeight="1" x14ac:dyDescent="0.2">
      <c r="A1" s="4"/>
      <c r="B1" s="4"/>
      <c r="C1" s="4"/>
      <c r="D1" s="4"/>
      <c r="E1" s="4"/>
      <c r="F1" s="4"/>
      <c r="G1" s="4"/>
      <c r="H1" s="4"/>
      <c r="I1" s="5" t="s">
        <v>54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2.75" customHeight="1" x14ac:dyDescent="0.2">
      <c r="A2" s="78" t="s">
        <v>55</v>
      </c>
      <c r="B2" s="79"/>
      <c r="C2" s="79"/>
      <c r="D2" s="79"/>
      <c r="E2" s="79"/>
      <c r="F2" s="79"/>
      <c r="G2" s="79"/>
      <c r="H2" s="79"/>
      <c r="I2" s="79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2.75" customHeight="1" x14ac:dyDescent="0.2">
      <c r="A3" s="78" t="s">
        <v>56</v>
      </c>
      <c r="B3" s="79"/>
      <c r="C3" s="79"/>
      <c r="D3" s="79"/>
      <c r="E3" s="79"/>
      <c r="F3" s="79"/>
      <c r="G3" s="79"/>
      <c r="H3" s="79"/>
      <c r="I3" s="7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2.75" customHeight="1" x14ac:dyDescent="0.2">
      <c r="A4" s="78" t="s">
        <v>57</v>
      </c>
      <c r="B4" s="79"/>
      <c r="C4" s="79"/>
      <c r="D4" s="79"/>
      <c r="E4" s="79"/>
      <c r="F4" s="79"/>
      <c r="G4" s="79"/>
      <c r="H4" s="79"/>
      <c r="I4" s="7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75" customHeight="1" x14ac:dyDescent="0.2">
      <c r="A5" s="78" t="s">
        <v>58</v>
      </c>
      <c r="B5" s="79"/>
      <c r="C5" s="79"/>
      <c r="D5" s="79"/>
      <c r="E5" s="79"/>
      <c r="F5" s="79"/>
      <c r="G5" s="79"/>
      <c r="H5" s="79"/>
      <c r="I5" s="7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2.75" customHeight="1" x14ac:dyDescent="0.2">
      <c r="A6" s="80"/>
      <c r="B6" s="79"/>
      <c r="C6" s="79"/>
      <c r="D6" s="6"/>
      <c r="E6" s="6"/>
      <c r="F6" s="6"/>
      <c r="G6" s="6"/>
      <c r="H6" s="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2.75" customHeight="1" x14ac:dyDescent="0.2">
      <c r="A7" s="81"/>
      <c r="B7" s="84" t="s">
        <v>59</v>
      </c>
      <c r="C7" s="70" t="s">
        <v>112</v>
      </c>
      <c r="D7" s="85" t="s">
        <v>1</v>
      </c>
      <c r="E7" s="85" t="s">
        <v>2</v>
      </c>
      <c r="F7" s="70" t="s">
        <v>84</v>
      </c>
      <c r="G7" s="72" t="s">
        <v>80</v>
      </c>
      <c r="H7" s="86" t="s">
        <v>109</v>
      </c>
      <c r="I7" s="75" t="s">
        <v>60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2.75" customHeight="1" x14ac:dyDescent="0.2">
      <c r="A8" s="82"/>
      <c r="B8" s="82"/>
      <c r="C8" s="71"/>
      <c r="D8" s="82"/>
      <c r="E8" s="82"/>
      <c r="F8" s="71"/>
      <c r="G8" s="73"/>
      <c r="H8" s="87"/>
      <c r="I8" s="7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6.75" customHeight="1" x14ac:dyDescent="0.2">
      <c r="A9" s="83"/>
      <c r="B9" s="83"/>
      <c r="C9" s="71"/>
      <c r="D9" s="83"/>
      <c r="E9" s="83"/>
      <c r="F9" s="71"/>
      <c r="G9" s="74"/>
      <c r="H9" s="88"/>
      <c r="I9" s="77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2.75" customHeight="1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8">
        <v>6</v>
      </c>
      <c r="G10" s="29">
        <v>7</v>
      </c>
      <c r="H10" s="34">
        <v>7</v>
      </c>
      <c r="I10" s="30">
        <v>8</v>
      </c>
      <c r="J10" s="4" t="s">
        <v>77</v>
      </c>
      <c r="K10" s="4" t="s">
        <v>76</v>
      </c>
      <c r="L10" s="4" t="s">
        <v>81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">
      <c r="A11" s="10">
        <v>5</v>
      </c>
      <c r="B11" s="23" t="s">
        <v>64</v>
      </c>
      <c r="C11" s="11">
        <v>45.79</v>
      </c>
      <c r="D11" s="12">
        <v>0.75</v>
      </c>
      <c r="E11" s="35"/>
      <c r="F11" s="2">
        <f>+C11+D11-E11</f>
        <v>46.54</v>
      </c>
      <c r="G11" s="38"/>
      <c r="H11" s="9" t="s">
        <v>98</v>
      </c>
      <c r="I11" s="31" t="s">
        <v>85</v>
      </c>
      <c r="J11" s="4">
        <v>-0.7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10">
        <v>9</v>
      </c>
      <c r="B12" s="23" t="s">
        <v>68</v>
      </c>
      <c r="C12" s="11">
        <v>79.42</v>
      </c>
      <c r="D12" s="12">
        <v>0.76</v>
      </c>
      <c r="E12" s="35"/>
      <c r="F12" s="2">
        <f t="shared" ref="F12:F22" si="0">+C12+D12-E12</f>
        <v>80.180000000000007</v>
      </c>
      <c r="G12" s="38"/>
      <c r="H12" s="9" t="s">
        <v>99</v>
      </c>
      <c r="I12" s="31" t="s">
        <v>88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10">
        <v>10</v>
      </c>
      <c r="B13" s="23" t="s">
        <v>15</v>
      </c>
      <c r="C13" s="11">
        <v>75.069999999999993</v>
      </c>
      <c r="D13" s="12">
        <v>0.85</v>
      </c>
      <c r="E13" s="35"/>
      <c r="F13" s="2">
        <f t="shared" si="0"/>
        <v>75.919999999999987</v>
      </c>
      <c r="G13" s="38"/>
      <c r="H13" s="9" t="s">
        <v>100</v>
      </c>
      <c r="I13" s="31" t="s">
        <v>90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" customHeight="1" x14ac:dyDescent="0.2">
      <c r="A14" s="10">
        <v>15</v>
      </c>
      <c r="B14" s="23" t="s">
        <v>69</v>
      </c>
      <c r="C14" s="11">
        <v>112.48</v>
      </c>
      <c r="D14" s="12">
        <v>0.84</v>
      </c>
      <c r="E14" s="35"/>
      <c r="F14" s="2">
        <f t="shared" si="0"/>
        <v>113.32000000000001</v>
      </c>
      <c r="G14" s="38"/>
      <c r="H14" s="9" t="s">
        <v>101</v>
      </c>
      <c r="I14" s="31" t="s">
        <v>91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10">
        <v>16</v>
      </c>
      <c r="B15" s="23" t="s">
        <v>70</v>
      </c>
      <c r="C15" s="11">
        <v>100.67</v>
      </c>
      <c r="D15" s="12">
        <v>0.87</v>
      </c>
      <c r="E15" s="35"/>
      <c r="F15" s="2">
        <f t="shared" si="0"/>
        <v>101.54</v>
      </c>
      <c r="G15" s="38"/>
      <c r="H15" s="9" t="s">
        <v>102</v>
      </c>
      <c r="I15" s="31" t="s">
        <v>89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customHeight="1" x14ac:dyDescent="0.2">
      <c r="A16" s="10">
        <v>17</v>
      </c>
      <c r="B16" s="23" t="s">
        <v>46</v>
      </c>
      <c r="C16" s="11">
        <v>82.46</v>
      </c>
      <c r="D16" s="12">
        <v>0.6</v>
      </c>
      <c r="E16" s="35"/>
      <c r="F16" s="2">
        <f t="shared" si="0"/>
        <v>83.059999999999988</v>
      </c>
      <c r="G16" s="38"/>
      <c r="H16" s="9" t="s">
        <v>103</v>
      </c>
      <c r="I16" s="31" t="s">
        <v>92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75" customHeight="1" x14ac:dyDescent="0.2">
      <c r="A17" s="10">
        <v>28</v>
      </c>
      <c r="B17" s="27" t="s">
        <v>38</v>
      </c>
      <c r="C17" s="11">
        <v>14.75</v>
      </c>
      <c r="D17" s="12">
        <v>2.1800000000000002</v>
      </c>
      <c r="E17" s="35"/>
      <c r="F17" s="2">
        <f t="shared" si="0"/>
        <v>16.93</v>
      </c>
      <c r="G17" s="38"/>
      <c r="H17" s="9" t="s">
        <v>104</v>
      </c>
      <c r="I17" s="31" t="s">
        <v>93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x14ac:dyDescent="0.2">
      <c r="A18" s="10">
        <v>38</v>
      </c>
      <c r="B18" s="23" t="s">
        <v>22</v>
      </c>
      <c r="C18" s="11">
        <v>40.5</v>
      </c>
      <c r="D18" s="12">
        <v>1</v>
      </c>
      <c r="E18" s="35"/>
      <c r="F18" s="2">
        <f t="shared" si="0"/>
        <v>41.5</v>
      </c>
      <c r="G18" s="39"/>
      <c r="H18" s="9" t="s">
        <v>105</v>
      </c>
      <c r="I18" s="31" t="s">
        <v>86</v>
      </c>
      <c r="J18" s="4">
        <v>-0.5</v>
      </c>
      <c r="K18" s="4">
        <v>-5.2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8.5" customHeight="1" x14ac:dyDescent="0.2">
      <c r="A19" s="10">
        <v>40</v>
      </c>
      <c r="B19" s="27" t="s">
        <v>5</v>
      </c>
      <c r="C19" s="11">
        <v>43.31</v>
      </c>
      <c r="D19" s="12">
        <v>1</v>
      </c>
      <c r="E19" s="35"/>
      <c r="F19" s="2">
        <f t="shared" si="0"/>
        <v>44.31</v>
      </c>
      <c r="G19" s="39"/>
      <c r="H19" s="28" t="s">
        <v>110</v>
      </c>
      <c r="I19" s="32" t="s">
        <v>95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38.25" x14ac:dyDescent="0.2">
      <c r="A20" s="10">
        <v>46</v>
      </c>
      <c r="B20" s="27" t="s">
        <v>25</v>
      </c>
      <c r="C20" s="11">
        <v>163.30000000000001</v>
      </c>
      <c r="D20" s="12">
        <f>0.5+1+3+0.25</f>
        <v>4.75</v>
      </c>
      <c r="E20" s="36"/>
      <c r="F20" s="2">
        <f t="shared" si="0"/>
        <v>168.05</v>
      </c>
      <c r="G20" s="38"/>
      <c r="H20" s="28" t="s">
        <v>106</v>
      </c>
      <c r="I20" s="32" t="s">
        <v>113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x14ac:dyDescent="0.2">
      <c r="A21" s="10">
        <v>51</v>
      </c>
      <c r="B21" s="27" t="s">
        <v>28</v>
      </c>
      <c r="C21" s="11">
        <v>14</v>
      </c>
      <c r="D21" s="12"/>
      <c r="E21" s="36">
        <v>0.25</v>
      </c>
      <c r="F21" s="2">
        <f t="shared" si="0"/>
        <v>13.75</v>
      </c>
      <c r="G21" s="38"/>
      <c r="H21" s="9" t="s">
        <v>97</v>
      </c>
      <c r="I21" s="32" t="s">
        <v>94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6.25" customHeight="1" x14ac:dyDescent="0.2">
      <c r="A22" s="10">
        <v>57</v>
      </c>
      <c r="B22" s="23" t="s">
        <v>35</v>
      </c>
      <c r="C22" s="11">
        <v>21.5</v>
      </c>
      <c r="D22" s="12"/>
      <c r="E22" s="35">
        <v>0.5</v>
      </c>
      <c r="F22" s="2">
        <f t="shared" si="0"/>
        <v>21</v>
      </c>
      <c r="G22" s="39"/>
      <c r="H22" s="41" t="s">
        <v>96</v>
      </c>
      <c r="I22" s="32" t="s">
        <v>87</v>
      </c>
      <c r="J22" s="4">
        <v>-0.6</v>
      </c>
      <c r="K22" s="4">
        <v>-2.2999999999999998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">
      <c r="A23" s="13"/>
      <c r="B23" s="24" t="s">
        <v>12</v>
      </c>
      <c r="C23" s="14">
        <v>2526.91</v>
      </c>
      <c r="D23" s="14">
        <f>SUM(D11:D22)</f>
        <v>13.6</v>
      </c>
      <c r="E23" s="37">
        <f>SUM(E11:E22)</f>
        <v>0.75</v>
      </c>
      <c r="F23" s="14">
        <f>+C23+D23-E23</f>
        <v>2539.7599999999998</v>
      </c>
      <c r="G23" s="40" t="e">
        <f>+G26+G27+#REF!+#REF!</f>
        <v>#REF!</v>
      </c>
      <c r="H23" s="3">
        <f>9.9+14.8+16.7+16+17.6+11.1+43.2+17.6+6.7+6.7+55.6+32-3.7-6.7</f>
        <v>237.5</v>
      </c>
      <c r="I23" s="33"/>
      <c r="J23" s="4">
        <f>SUM(J11:J22)</f>
        <v>-1.7999999999999998</v>
      </c>
      <c r="K23" s="4">
        <f>SUM(K11:K22)</f>
        <v>-7.5</v>
      </c>
      <c r="L23" s="4">
        <f>SUM(L11:L22)</f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">
      <c r="A24" s="5"/>
      <c r="B24" s="25"/>
      <c r="C24" s="15"/>
      <c r="D24" s="16"/>
      <c r="E24" s="16"/>
      <c r="G24" s="17"/>
      <c r="H24" s="16" t="s">
        <v>107</v>
      </c>
      <c r="I24" s="18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2.75" customHeight="1" x14ac:dyDescent="0.2">
      <c r="A25" s="6"/>
      <c r="B25" s="26"/>
      <c r="C25" s="19"/>
      <c r="D25" s="19"/>
      <c r="E25" s="19"/>
      <c r="G25" s="20"/>
      <c r="H25" s="16" t="s">
        <v>98</v>
      </c>
      <c r="I25" s="2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4"/>
      <c r="B26" s="4"/>
      <c r="C26" s="4"/>
      <c r="D26" s="5" t="s">
        <v>61</v>
      </c>
      <c r="E26" s="19">
        <f>+D23-E23</f>
        <v>12.85</v>
      </c>
      <c r="G26" s="22"/>
      <c r="H26" s="5" t="s">
        <v>111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2.75" hidden="1" customHeight="1" x14ac:dyDescent="0.2">
      <c r="A27" s="4"/>
      <c r="B27" s="4"/>
      <c r="C27" s="4"/>
      <c r="D27" s="5"/>
      <c r="E27" s="4"/>
      <c r="G27" s="22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">
      <c r="A28" s="4"/>
      <c r="B28" s="4"/>
      <c r="C28" s="15"/>
      <c r="D28" s="5"/>
      <c r="E28" s="4"/>
      <c r="F28" s="5"/>
      <c r="G28" s="22"/>
      <c r="H28" s="42" t="s">
        <v>108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">
      <c r="A29" s="4"/>
      <c r="B29" s="4"/>
      <c r="C29" s="19"/>
      <c r="D29" s="4"/>
      <c r="E29" s="4"/>
      <c r="F29" s="4"/>
      <c r="G29" s="22"/>
      <c r="H29" s="2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2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2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2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2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2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2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2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2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</sheetData>
  <mergeCells count="14">
    <mergeCell ref="F7:F9"/>
    <mergeCell ref="G7:G9"/>
    <mergeCell ref="I7:I9"/>
    <mergeCell ref="A2:I2"/>
    <mergeCell ref="A3:I3"/>
    <mergeCell ref="A4:I4"/>
    <mergeCell ref="A5:I5"/>
    <mergeCell ref="A6:C6"/>
    <mergeCell ref="A7:A9"/>
    <mergeCell ref="B7:B9"/>
    <mergeCell ref="C7:C9"/>
    <mergeCell ref="D7:D9"/>
    <mergeCell ref="E7:E9"/>
    <mergeCell ref="H7:H9"/>
  </mergeCells>
  <pageMargins left="0.31496062992125984" right="0" top="0.35433070866141736" bottom="0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2023-12-22</vt:lpstr>
      <vt:lpstr>Paaišk 2023-12-22</vt:lpstr>
      <vt:lpstr>'2023-12-22'!Print_Area</vt:lpstr>
      <vt:lpstr>'Paaišk 2023-12-22'!Print_Area</vt:lpstr>
      <vt:lpstr>'2023-12-22'!Print_Titles</vt:lpstr>
      <vt:lpstr>'Paaišk 2023-12-22'!Print_Titles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Sakaviciene</dc:creator>
  <cp:lastModifiedBy>Renata Laučienė</cp:lastModifiedBy>
  <cp:lastPrinted>2023-12-11T14:14:30Z</cp:lastPrinted>
  <dcterms:created xsi:type="dcterms:W3CDTF">2006-12-08T13:31:51Z</dcterms:created>
  <dcterms:modified xsi:type="dcterms:W3CDTF">2023-12-14T09:54:41Z</dcterms:modified>
</cp:coreProperties>
</file>