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H:\KRS\4 Tarybos posėdis\SP TAIS\"/>
    </mc:Choice>
  </mc:AlternateContent>
  <bookViews>
    <workbookView xWindow="-120" yWindow="-120" windowWidth="29040" windowHeight="15840"/>
  </bookViews>
  <sheets>
    <sheet name="2023-06-23" sheetId="148" r:id="rId1"/>
    <sheet name="Paaišk 2023-06-23" sheetId="151" r:id="rId2"/>
  </sheets>
  <definedNames>
    <definedName name="_xlnm.Print_Area" localSheetId="0">'2023-06-23'!$A$1:$D$74</definedName>
    <definedName name="_xlnm.Print_Area" localSheetId="1">'Paaišk 2023-06-23'!$A$1:$H$40</definedName>
    <definedName name="_xlnm.Print_Titles" localSheetId="0">'2023-06-23'!$15:$15</definedName>
    <definedName name="_xlnm.Print_Titles" localSheetId="1">'Paaišk 2023-06-23'!$10:$10</definedName>
  </definedNames>
  <calcPr calcId="181029"/>
</workbook>
</file>

<file path=xl/calcChain.xml><?xml version="1.0" encoding="utf-8"?>
<calcChain xmlns="http://schemas.openxmlformats.org/spreadsheetml/2006/main">
  <c r="D39" i="148" l="1"/>
  <c r="C39" i="148"/>
  <c r="G35" i="151"/>
  <c r="G37" i="151" s="1"/>
  <c r="G31" i="151" s="1"/>
  <c r="C36" i="148"/>
  <c r="D27" i="151"/>
  <c r="F27" i="151" s="1"/>
  <c r="G36" i="151"/>
  <c r="E31" i="151"/>
  <c r="C30" i="151"/>
  <c r="F30" i="151" s="1"/>
  <c r="F29" i="151"/>
  <c r="C29" i="151"/>
  <c r="C28" i="151"/>
  <c r="F28" i="151" s="1"/>
  <c r="C27" i="151"/>
  <c r="C26" i="151"/>
  <c r="F26" i="151" s="1"/>
  <c r="F25" i="151"/>
  <c r="C25" i="151"/>
  <c r="C24" i="151"/>
  <c r="F24" i="151" s="1"/>
  <c r="F23" i="151"/>
  <c r="C23" i="151"/>
  <c r="C22" i="151"/>
  <c r="F22" i="151" s="1"/>
  <c r="F21" i="151"/>
  <c r="C21" i="151"/>
  <c r="C20" i="151"/>
  <c r="F20" i="151" s="1"/>
  <c r="D19" i="151"/>
  <c r="C19" i="151"/>
  <c r="F19" i="151" s="1"/>
  <c r="F18" i="151"/>
  <c r="C18" i="151"/>
  <c r="F17" i="151"/>
  <c r="D17" i="151"/>
  <c r="C17" i="151"/>
  <c r="C16" i="151"/>
  <c r="F16" i="151" s="1"/>
  <c r="F15" i="151"/>
  <c r="C15" i="151"/>
  <c r="C14" i="151"/>
  <c r="F14" i="151" s="1"/>
  <c r="F13" i="151"/>
  <c r="C13" i="151"/>
  <c r="C12" i="151"/>
  <c r="F12" i="151" s="1"/>
  <c r="D11" i="151"/>
  <c r="D31" i="151" s="1"/>
  <c r="C11" i="151"/>
  <c r="F11" i="151" s="1"/>
  <c r="F31" i="151" l="1"/>
  <c r="E33" i="151"/>
  <c r="D35" i="148" l="1"/>
  <c r="C35" i="148"/>
  <c r="C26" i="148"/>
  <c r="D26" i="148"/>
  <c r="C56" i="148"/>
  <c r="C55" i="148"/>
  <c r="C22" i="148"/>
  <c r="C34" i="148"/>
  <c r="C33" i="148"/>
  <c r="C32" i="148"/>
  <c r="C29" i="148"/>
  <c r="C28" i="148"/>
  <c r="C27" i="148"/>
  <c r="C23" i="148"/>
  <c r="C21" i="148"/>
  <c r="C20" i="148"/>
  <c r="C19" i="148"/>
  <c r="C18" i="148"/>
  <c r="C17" i="148"/>
  <c r="C16" i="148"/>
  <c r="C40" i="148"/>
  <c r="C41" i="148"/>
  <c r="C42" i="148"/>
  <c r="C43" i="148"/>
  <c r="C72" i="148"/>
  <c r="C71" i="148"/>
  <c r="C70" i="148"/>
  <c r="C69" i="148"/>
  <c r="C68" i="148"/>
  <c r="C67" i="148"/>
  <c r="C66" i="148"/>
  <c r="C65" i="148"/>
  <c r="C64" i="148"/>
  <c r="C63" i="148"/>
  <c r="C62" i="148"/>
  <c r="C61" i="148"/>
  <c r="C60" i="148"/>
  <c r="C59" i="148"/>
  <c r="C58" i="148"/>
  <c r="C57" i="148"/>
  <c r="C54" i="148"/>
  <c r="C53" i="148"/>
  <c r="C51" i="148"/>
  <c r="C50" i="148"/>
  <c r="C48" i="148"/>
  <c r="C47" i="148"/>
  <c r="C46" i="148"/>
  <c r="C45" i="148"/>
  <c r="C44" i="148"/>
  <c r="D38" i="148"/>
  <c r="C38" i="148"/>
  <c r="D37" i="148"/>
  <c r="C37" i="148"/>
  <c r="D36" i="148"/>
  <c r="D34" i="148"/>
  <c r="D33" i="148"/>
  <c r="D32" i="148"/>
  <c r="D31" i="148"/>
  <c r="C31" i="148"/>
  <c r="D30" i="148"/>
  <c r="C30" i="148"/>
  <c r="D29" i="148"/>
  <c r="D28" i="148"/>
  <c r="D27" i="148"/>
  <c r="D25" i="148"/>
  <c r="C25" i="148"/>
  <c r="D24" i="148"/>
  <c r="C24" i="148"/>
  <c r="D23" i="148"/>
  <c r="D73" i="148" s="1"/>
  <c r="C73" i="148" l="1"/>
</calcChain>
</file>

<file path=xl/sharedStrings.xml><?xml version="1.0" encoding="utf-8"?>
<sst xmlns="http://schemas.openxmlformats.org/spreadsheetml/2006/main" count="136" uniqueCount="105">
  <si>
    <t>Eil. Nr.</t>
  </si>
  <si>
    <t>Padidėjo</t>
  </si>
  <si>
    <t>Sumažėjo</t>
  </si>
  <si>
    <t>Kėdainių krašto muziejus</t>
  </si>
  <si>
    <t>Dotnuvos slaugos namai</t>
  </si>
  <si>
    <t>Josvainių socialinis ir ugdymo centras</t>
  </si>
  <si>
    <t xml:space="preserve">Šėtos socialinis ir ugdymo centras 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</si>
  <si>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</si>
  <si>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</si>
  <si>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</si>
  <si>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</si>
  <si>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</si>
  <si>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Iš viso:</t>
  </si>
  <si>
    <t>Kėdainių kultūros centras</t>
  </si>
  <si>
    <t>Kėdainių r. Krakių Mikalojaus Katkaus gimnazija</t>
  </si>
  <si>
    <t>Kėdainių šviesioji gimnazija</t>
  </si>
  <si>
    <t>Kėdainių r. Dotnuvos pagrindinė mokykla</t>
  </si>
  <si>
    <t>Kėdainių r. Surviliškio Vinco Svirskio pagrindinė mokykla</t>
  </si>
  <si>
    <t>Kėdainių dailės mokykla</t>
  </si>
  <si>
    <t>Kėdainių kalbų mokykla</t>
  </si>
  <si>
    <t>Kėdainių muzikos  mokykla</t>
  </si>
  <si>
    <t>Kėdainių rajono savivaldybės Mikalojaus Daukšos viešoji biblioteka</t>
  </si>
  <si>
    <t>Kėdainių bendruomenės socialinis centras</t>
  </si>
  <si>
    <t>Kėdainių rajono savivaldybės visuomenės sveikatos biuras</t>
  </si>
  <si>
    <t>Kėdainių rajono savivaldybės priešgaisrinė tarnyba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</si>
  <si>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</si>
  <si>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</si>
  <si>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</si>
  <si>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</si>
  <si>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</si>
  <si>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</si>
  <si>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</si>
  <si>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</si>
  <si>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</si>
  <si>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</si>
  <si>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</si>
  <si>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Kėdainių rajono savivaldybės administracijos Kėdainių miesto seniūnija</t>
  </si>
  <si>
    <t>Kėdainių rajono savivaldybės kontrolės ir audito tarnyba</t>
  </si>
  <si>
    <t>Kėdainių švietimo pagalbos tarnyba</t>
  </si>
  <si>
    <t>Kėdainių suaugusiųjų ir jaunimo mokymo centras</t>
  </si>
  <si>
    <t>Kėdainių sporto centras</t>
  </si>
  <si>
    <t>DIDŽIAUSIAS LEISTINAS VALSTYBĖS TARNAUTOJŲ IR DARBUOTOJŲ,</t>
  </si>
  <si>
    <t>DIRBANČIŲ PAGAL DARBO SUTARTIS IR GAUNANČIŲ DARBO UŽMOKESTĮ</t>
  </si>
  <si>
    <t xml:space="preserve">IŠ SAVIVALDYBĖS BIUDŽETO PAREIGYBIŲ SKAIČIUS </t>
  </si>
  <si>
    <t>KĖDAINIŲ RAJONO SAVIVALDYBĖS INSTITUCIJOSE IR ĮSTAIGOSE</t>
  </si>
  <si>
    <t>Institucijos, įstaigos pavadinimas</t>
  </si>
  <si>
    <t>Kėdainių Juozo Paukštelio progimnazija</t>
  </si>
  <si>
    <t>Mero politinio (asmeninio) pasitikėjimo valstybės tarnautojai</t>
  </si>
  <si>
    <t>PATVIRTINTA</t>
  </si>
  <si>
    <t>Kėdainių rajono savivaldybės tarybos</t>
  </si>
  <si>
    <t>Kėdainių r. Akademijos gimnazija</t>
  </si>
  <si>
    <t>Kėdainių r. Josvainių gimnazija</t>
  </si>
  <si>
    <t>Kėdainių r. Šėtos gimnazija</t>
  </si>
  <si>
    <t>Kėdainių r. Labūnavos pagrindinė mokykla</t>
  </si>
  <si>
    <t>Paaiškinamoji lentelė</t>
  </si>
  <si>
    <t xml:space="preserve">KĖDAINIŲ RAJONO SAVIVALDYBĖS </t>
  </si>
  <si>
    <t>DIDŽIAUSIAS LEISTINAS VALSTYBĖS TARNAUTOJŲ PAREIGYBIŲ IR DARBUOTOJŲ,</t>
  </si>
  <si>
    <t>DIRBANČIŲ PAGAL DARBO SUTARTIS IR GAUNANČIŲ UŽMOKESTĮ</t>
  </si>
  <si>
    <t xml:space="preserve">IŠ SAVIVALDYBĖS BIUDŽETO, SKAIČIUS </t>
  </si>
  <si>
    <t>Įstaigos pavadinimas</t>
  </si>
  <si>
    <t>Pastabos</t>
  </si>
  <si>
    <t>Didėja/mažėja</t>
  </si>
  <si>
    <t>Kėdainių lopšelis-darželis „Aviliukas“</t>
  </si>
  <si>
    <t>Kėdainių lopšelis-darželis „Pasaka“</t>
  </si>
  <si>
    <t>Kėdainių lopšelis-darželis „Varpelis“</t>
  </si>
  <si>
    <t>Kėdainių lopšelis-darželis „Vyturėlis“</t>
  </si>
  <si>
    <t>Kėdainių lopšelis-darželis „Žilvitis“</t>
  </si>
  <si>
    <t>Kėdainių rajono Vilainių mokykla-darželis „Obelėlė“</t>
  </si>
  <si>
    <t>Kėdainių „Atžalyno“ gimnazija</t>
  </si>
  <si>
    <t>Lietuvos sporto universiteto Kėdainių „Aušros“ progimnazija</t>
  </si>
  <si>
    <t>Kėdainių „Ryto“ progimnazija</t>
  </si>
  <si>
    <t>Kėdainių pagalbos šeimai centras</t>
  </si>
  <si>
    <t>Kėdainių lopšelis-darželis „Puriena“</t>
  </si>
  <si>
    <t>Kėdainių lopšelis-darželis „Vaikystė“</t>
  </si>
  <si>
    <t>Iš viso</t>
  </si>
  <si>
    <t xml:space="preserve">iš jo mokytojų (dirbančių pagal bendrojo ugdymo ir neformaliojo švietimo programas) </t>
  </si>
  <si>
    <t>ML</t>
  </si>
  <si>
    <t>SB</t>
  </si>
  <si>
    <t>Kėdainių r. Miegėnų pagrindinė mokykla</t>
  </si>
  <si>
    <t>Kėdainių „Spindulio“ mokykla</t>
  </si>
  <si>
    <t>Didžiausias leistinas valstybės tarnautojų ir darbuotojų pareigybių skaičius (išskyrus individualios priežiūros darbuotojus (teikiančius pagalbos namuose paslaugas) ir užimtumo didinimo programai įgyvendinti darbuotojus)</t>
  </si>
  <si>
    <t>2023 m. asignavimų planas darbo užmokesčiui ir įmokoms soc draudimui (tūkst. Eur)</t>
  </si>
  <si>
    <t>Didžiausias leistinas valstybės tarnautojų ir darbuotojų pareigybių skaičius (išskyrus individualios priežiūros darbuotojus (teikiančius pagalbos namuose paslaugas) ir užimtumo didinimo programai įgyvendinti darbuotojus))                                 2022-12-16 Nr. TS-237</t>
  </si>
  <si>
    <t>2023 m. birželio 23 d.  Nr. TS-</t>
  </si>
  <si>
    <t>Didžiausias leistinas valstybės tarnautojų ir darbuotojų pareigybių skaičius (išskyrus individualios priežiūros darbuotojus (teikiančius pagalbos namuose paslaugas) ir užimtumo didinimo programai įgyvendinti darbuotojus))                                 2023-06-23 Nr. SP-</t>
  </si>
  <si>
    <t xml:space="preserve">Siūloma padidinti mokytojų pareigybių sk. dirbančių pagal ikimokyklinio ir priešmokyklinio ugdymo programą </t>
  </si>
  <si>
    <t>Siūloma iškelti 28,92 etatus į Akademijos gimnaziją ir 0,25 etato sumažinti dėl reorganizacijos</t>
  </si>
  <si>
    <t>ML 10,0
SB 1,2</t>
  </si>
  <si>
    <t>ML 1,8
SB 0,6</t>
  </si>
  <si>
    <t>ML 2,1
SB 0,7</t>
  </si>
  <si>
    <t>ML 2,4
SB 0,8</t>
  </si>
  <si>
    <t>ML 12,8
SB 1,3</t>
  </si>
  <si>
    <t>ML 1,5
SB 0,5</t>
  </si>
  <si>
    <t>ML 109,9
SB 37,1</t>
  </si>
  <si>
    <t>ML 0,3
SB 0,1</t>
  </si>
  <si>
    <t>ML 0,9
SB 0,3</t>
  </si>
  <si>
    <t>ML -108,4
SB -37,4</t>
  </si>
  <si>
    <t>SB  11,5</t>
  </si>
  <si>
    <t>Siūloma padidinti 2 etatus pedagoginių pareigybių skaičių</t>
  </si>
  <si>
    <t>ML 0,6
SB 0,2</t>
  </si>
  <si>
    <t>ML 9,1
SB 0,1</t>
  </si>
  <si>
    <t>Siūloma padidinti 0,46 etato mokytojų pareigybių sk. dirbančių pagal ikimokyklinio ir priešmokyklinio ugdymo programą, 0,5 etato socialinio pedagogo pareigybės ir 1 etatą mokytojo padėjėjo pareigybės</t>
  </si>
  <si>
    <t>Siūloma padidinti 0,55 etato mokytojų pareigybių sk. dirbančių pagal ikimokyklinio ir priešmokyklinio ugdymo programą, 0,5 etato socialinio pedagogo pareigybės ir 1,5 etatą mokytojo padėjėjo pareigybės</t>
  </si>
  <si>
    <t>Siūloma padidinti 0,35 etato mokytojų pareigybių sk. dirbančių pagal ikimokyklinio ir priešmokyklinio ugdymo programą,  perkelti 28,92 etatus iš Miegėnų pagrindinės mokyklos dėl reorganizacijos</t>
  </si>
  <si>
    <t>iūloma padidinti 0,03 etato mokytojų pareigybių sk. dirbančių pagal ikimokyklinio ir priešmokyklinio ugdymo programą ir 1,75 etato mokytojo padėjėjo pareigybės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</si>
</sst>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/>
    <xf numFmtId="2" fontId="3" fillId="0" borderId="0" xfId="0" applyNumberFormat="1" applyFont="1"/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1" fillId="0" borderId="0" xfId="0" applyFont="1"/>
    <xf numFmtId="2" fontId="2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4" fontId="3" fillId="0" borderId="0" xfId="0" applyNumberFormat="1" applyFont="1" applyAlignment="1">
      <alignment horizontal="right"/>
    </xf>
    <xf numFmtId="2" fontId="3" fillId="0" borderId="1" xfId="0" applyNumberFormat="1" applyFont="1" applyBorder="1"/>
    <xf numFmtId="4" fontId="3" fillId="0" borderId="0" xfId="0" applyNumberFormat="1" applyFont="1"/>
    <xf numFmtId="0" fontId="3" fillId="0" borderId="0" xfId="0" applyFont="1"/>
    <xf numFmtId="2" fontId="6" fillId="0" borderId="0" xfId="0" applyNumberFormat="1" applyFont="1"/>
    <xf numFmtId="2" fontId="2" fillId="0" borderId="0" xfId="0" applyNumberFormat="1" applyFont="1" applyAlignment="1">
      <alignment horizontal="right"/>
    </xf>
    <xf numFmtId="2" fontId="1" fillId="0" borderId="0" xfId="0" applyNumberFormat="1" applyFont="1"/>
    <xf numFmtId="0" fontId="7" fillId="0" borderId="0" xfId="0" applyFont="1"/>
    <xf numFmtId="0" fontId="4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5" fillId="0" borderId="9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6" xfId="0" applyFont="1" applyBorder="1" applyAlignment="1">
      <alignment horizontal="right" vertical="center" wrapText="1"/>
    </xf>
    <xf numFmtId="2" fontId="5" fillId="0" borderId="0" xfId="0" applyNumberFormat="1" applyFont="1"/>
    <xf numFmtId="164" fontId="5" fillId="0" borderId="0" xfId="0" applyNumberFormat="1" applyFont="1"/>
    <xf numFmtId="164" fontId="2" fillId="0" borderId="9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4" fontId="8" fillId="0" borderId="9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2" fontId="8" fillId="0" borderId="0" xfId="0" applyNumberFormat="1" applyFont="1"/>
    <xf numFmtId="1" fontId="8" fillId="0" borderId="0" xfId="0" applyNumberFormat="1" applyFont="1"/>
    <xf numFmtId="164" fontId="8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14" fontId="8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left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selection activeCell="D40" sqref="D40"/>
    </sheetView>
  </sheetViews>
  <sheetFormatPr defaultRowHeight="12.75" x14ac:dyDescent="0.2"/>
  <cols>
    <col min="1" max="1" width="5.42578125" style="1" customWidth="1"/>
    <col min="2" max="2" width="41.7109375" style="1" customWidth="1"/>
    <col min="3" max="4" width="16.7109375" style="1" customWidth="1"/>
    <col min="5" max="6" width="9.140625" style="1"/>
    <col min="7" max="16384" width="9.140625" style="11"/>
  </cols>
  <sheetData>
    <row r="1" spans="1:6" x14ac:dyDescent="0.2">
      <c r="C1" s="65" t="s">
        <v>48</v>
      </c>
      <c r="D1" s="65"/>
    </row>
    <row r="2" spans="1:6" x14ac:dyDescent="0.2">
      <c r="C2" s="65" t="s">
        <v>49</v>
      </c>
      <c r="D2" s="65"/>
    </row>
    <row r="3" spans="1:6" x14ac:dyDescent="0.2">
      <c r="C3" s="65" t="s">
        <v>83</v>
      </c>
      <c r="D3" s="65"/>
    </row>
    <row r="4" spans="1:6" x14ac:dyDescent="0.2">
      <c r="B4" s="2"/>
      <c r="C4" s="13"/>
    </row>
    <row r="5" spans="1:6" x14ac:dyDescent="0.2">
      <c r="A5" s="64" t="s">
        <v>41</v>
      </c>
      <c r="B5" s="64"/>
      <c r="C5" s="64"/>
      <c r="D5" s="64"/>
    </row>
    <row r="6" spans="1:6" x14ac:dyDescent="0.2">
      <c r="A6" s="64" t="s">
        <v>42</v>
      </c>
      <c r="B6" s="64"/>
      <c r="C6" s="64"/>
      <c r="D6" s="64"/>
    </row>
    <row r="7" spans="1:6" x14ac:dyDescent="0.2">
      <c r="A7" s="64" t="s">
        <v>43</v>
      </c>
      <c r="B7" s="64"/>
      <c r="C7" s="64"/>
      <c r="D7" s="64"/>
    </row>
    <row r="8" spans="1:6" x14ac:dyDescent="0.2">
      <c r="A8" s="64" t="s">
        <v>44</v>
      </c>
      <c r="B8" s="64"/>
      <c r="C8" s="64"/>
      <c r="D8" s="64"/>
    </row>
    <row r="9" spans="1:6" x14ac:dyDescent="0.2">
      <c r="A9" s="66"/>
      <c r="B9" s="64"/>
      <c r="C9" s="64"/>
    </row>
    <row r="10" spans="1:6" ht="12.75" customHeight="1" x14ac:dyDescent="0.2">
      <c r="A10" s="67" t="s">
        <v>0</v>
      </c>
      <c r="B10" s="67" t="s">
        <v>45</v>
      </c>
      <c r="C10" s="68" t="s">
        <v>80</v>
      </c>
      <c r="D10" s="68"/>
    </row>
    <row r="11" spans="1:6" x14ac:dyDescent="0.2">
      <c r="A11" s="67"/>
      <c r="B11" s="67"/>
      <c r="C11" s="68"/>
      <c r="D11" s="68"/>
    </row>
    <row r="12" spans="1:6" x14ac:dyDescent="0.2">
      <c r="A12" s="67"/>
      <c r="B12" s="67"/>
      <c r="C12" s="68"/>
      <c r="D12" s="68"/>
    </row>
    <row r="13" spans="1:6" ht="53.25" customHeight="1" x14ac:dyDescent="0.2">
      <c r="A13" s="67"/>
      <c r="B13" s="67"/>
      <c r="C13" s="68"/>
      <c r="D13" s="68"/>
    </row>
    <row r="14" spans="1:6" ht="80.25" customHeight="1" x14ac:dyDescent="0.2">
      <c r="A14" s="67"/>
      <c r="B14" s="67"/>
      <c r="C14" s="14" t="s">
        <v>74</v>
      </c>
      <c r="D14" s="14" t="s">
        <v>75</v>
      </c>
    </row>
    <row r="15" spans="1:6" x14ac:dyDescent="0.2">
      <c r="A15" s="3">
        <v>1</v>
      </c>
      <c r="B15" s="3">
        <v>2</v>
      </c>
      <c r="C15" s="3">
        <v>3</v>
      </c>
      <c r="D15" s="4">
        <v>4</v>
      </c>
    </row>
    <row r="16" spans="1:6" x14ac:dyDescent="0.2">
      <c r="A16" s="4">
        <v>1</v>
      </c>
      <c r="B16" s="8" t="s">
        <v>62</v>
      </c>
      <c r="C16" s="12">
        <f>42.01+0.5-3+0.25+0.72+0.5+0.5-1.22+0.56+0.46+0.5+1</f>
        <v>42.78</v>
      </c>
      <c r="D16" s="12"/>
      <c r="E16" s="5"/>
      <c r="F16" s="5"/>
    </row>
    <row r="17" spans="1:7" x14ac:dyDescent="0.2">
      <c r="A17" s="4">
        <v>2</v>
      </c>
      <c r="B17" s="8" t="s">
        <v>63</v>
      </c>
      <c r="C17" s="12">
        <f>46.25-2.5-0.25+1+0.56+0.46</f>
        <v>45.52</v>
      </c>
      <c r="D17" s="12"/>
      <c r="E17" s="5"/>
      <c r="F17" s="5"/>
    </row>
    <row r="18" spans="1:7" x14ac:dyDescent="0.2">
      <c r="A18" s="4">
        <v>3</v>
      </c>
      <c r="B18" s="8" t="s">
        <v>72</v>
      </c>
      <c r="C18" s="12">
        <f>41.65+0.5-3+0.25+2.5+1+0.63+0.5+0.5</f>
        <v>44.53</v>
      </c>
      <c r="D18" s="12"/>
      <c r="E18" s="5"/>
      <c r="F18" s="5"/>
      <c r="G18" s="25"/>
    </row>
    <row r="19" spans="1:7" x14ac:dyDescent="0.2">
      <c r="A19" s="4">
        <v>4</v>
      </c>
      <c r="B19" s="8" t="s">
        <v>73</v>
      </c>
      <c r="C19" s="12">
        <f>44.43+0.5-2.5+2.5+1+0.69+0.55</f>
        <v>47.169999999999995</v>
      </c>
      <c r="D19" s="12"/>
      <c r="E19" s="5"/>
      <c r="F19" s="5"/>
    </row>
    <row r="20" spans="1:7" x14ac:dyDescent="0.2">
      <c r="A20" s="4">
        <v>5</v>
      </c>
      <c r="B20" s="8" t="s">
        <v>64</v>
      </c>
      <c r="C20" s="12">
        <f>46.15+0.5-2.5+0.25+0.84+0.55</f>
        <v>45.79</v>
      </c>
      <c r="D20" s="12"/>
      <c r="E20" s="5"/>
      <c r="F20" s="5"/>
    </row>
    <row r="21" spans="1:7" x14ac:dyDescent="0.2">
      <c r="A21" s="4">
        <v>6</v>
      </c>
      <c r="B21" s="8" t="s">
        <v>65</v>
      </c>
      <c r="C21" s="12">
        <f>49.49-3+0.25-2.5+2.5+1.5+1+0.5+0.66+0.4</f>
        <v>50.8</v>
      </c>
      <c r="D21" s="12"/>
      <c r="E21" s="5"/>
      <c r="F21" s="5"/>
    </row>
    <row r="22" spans="1:7" x14ac:dyDescent="0.2">
      <c r="A22" s="4">
        <v>7</v>
      </c>
      <c r="B22" s="8" t="s">
        <v>66</v>
      </c>
      <c r="C22" s="12">
        <f>47.4+0.5-3+1+0.5+0.69+0.55+0.5+1.5</f>
        <v>49.639999999999993</v>
      </c>
      <c r="D22" s="12"/>
      <c r="E22" s="5"/>
      <c r="F22" s="5"/>
    </row>
    <row r="23" spans="1:7" x14ac:dyDescent="0.2">
      <c r="A23" s="4">
        <v>8</v>
      </c>
      <c r="B23" s="7" t="s">
        <v>67</v>
      </c>
      <c r="C23" s="12">
        <f>38+0.5-2.5+0.25+0.25+5.33-0.54+0.3+0.43+1.5+1-0.23+0.5+0.44+1.5+1.5+0.35</f>
        <v>48.58</v>
      </c>
      <c r="D23" s="12">
        <f>5.33-0.54+0.43-0.23</f>
        <v>4.9899999999999993</v>
      </c>
      <c r="E23" s="24"/>
      <c r="F23" s="5"/>
    </row>
    <row r="24" spans="1:7" x14ac:dyDescent="0.2">
      <c r="A24" s="4">
        <v>9</v>
      </c>
      <c r="B24" s="8" t="s">
        <v>68</v>
      </c>
      <c r="C24" s="12">
        <f>42.5-3.5+1.5-0.5+41.09+3.54-1.75+0.74+1.7-1.71-1</f>
        <v>82.610000000000014</v>
      </c>
      <c r="D24" s="12">
        <f>41.09+3.54+0.74+1.7-1.71</f>
        <v>45.360000000000007</v>
      </c>
      <c r="E24" s="5"/>
      <c r="F24" s="23"/>
    </row>
    <row r="25" spans="1:7" x14ac:dyDescent="0.2">
      <c r="A25" s="4">
        <v>10</v>
      </c>
      <c r="B25" s="8" t="s">
        <v>15</v>
      </c>
      <c r="C25" s="12">
        <f>29.35-0.5+38.88+1.3+3.47+1.8-1.5-0.17+3.15+0.74</f>
        <v>76.52</v>
      </c>
      <c r="D25" s="12">
        <f>38.88+3.47+1.8-0.17-1.8+3.15+0.74</f>
        <v>46.07</v>
      </c>
      <c r="E25" s="5"/>
      <c r="F25" s="23"/>
    </row>
    <row r="26" spans="1:7" x14ac:dyDescent="0.2">
      <c r="A26" s="4">
        <v>11</v>
      </c>
      <c r="B26" s="8" t="s">
        <v>50</v>
      </c>
      <c r="C26" s="12">
        <f>71+2.5+29.52+2.5-3.13+3-0.75+0.41+1+1.35+0.41-0.47+1.5+0.35+29.17-0.25</f>
        <v>138.10999999999999</v>
      </c>
      <c r="D26" s="12">
        <f>29.52-3.13+0.41+1.35-0.47+11.64</f>
        <v>39.320000000000007</v>
      </c>
      <c r="E26" s="23"/>
      <c r="F26" s="23"/>
      <c r="G26" s="26"/>
    </row>
    <row r="27" spans="1:7" x14ac:dyDescent="0.2">
      <c r="A27" s="4">
        <v>12</v>
      </c>
      <c r="B27" s="7" t="s">
        <v>51</v>
      </c>
      <c r="C27" s="12">
        <f>48.65-0.6+28.12+0.3+4.47-13.95-10.67+1.75+1.51-1+0.06+1.18+0.05</f>
        <v>59.86999999999999</v>
      </c>
      <c r="D27" s="12">
        <f>20.41+6.99+0.72+0.3+4.47-10.67+1.51+1.18</f>
        <v>24.91</v>
      </c>
      <c r="E27" s="5"/>
      <c r="F27" s="23"/>
    </row>
    <row r="28" spans="1:7" x14ac:dyDescent="0.2">
      <c r="A28" s="4">
        <v>13</v>
      </c>
      <c r="B28" s="7" t="s">
        <v>14</v>
      </c>
      <c r="C28" s="12">
        <f>75.25-1.05+24.01+0.29+1+1.94-0.27+0.5+1.03+0.25-1.64+0.22</f>
        <v>101.53000000000002</v>
      </c>
      <c r="D28" s="12">
        <f>21.11+1.45+1.45+0.29+1.94-0.27+1.03-1.64</f>
        <v>25.36</v>
      </c>
      <c r="E28" s="5"/>
      <c r="F28" s="23"/>
    </row>
    <row r="29" spans="1:7" x14ac:dyDescent="0.2">
      <c r="A29" s="4">
        <v>14</v>
      </c>
      <c r="B29" s="8" t="s">
        <v>52</v>
      </c>
      <c r="C29" s="12">
        <f>35.5+21.51+0.34+1.9-0.25-0.93+0.5+0.19+0.5+12.5+1+1.06+2.6+0.5+0.06</f>
        <v>76.98</v>
      </c>
      <c r="D29" s="12">
        <f>21.51+0.34+1.9-0.93+0.19+2+2.6</f>
        <v>27.610000000000003</v>
      </c>
      <c r="E29" s="5"/>
      <c r="F29" s="23"/>
    </row>
    <row r="30" spans="1:7" ht="25.5" x14ac:dyDescent="0.2">
      <c r="A30" s="4">
        <v>15</v>
      </c>
      <c r="B30" s="9" t="s">
        <v>69</v>
      </c>
      <c r="C30" s="12">
        <f>52.5+1+49.25+0.23+6.69-0.25+0.5+0.95+0.5+0.25+1.75+0.52+0.5-2.31-2+0.5+0.5</f>
        <v>111.08</v>
      </c>
      <c r="D30" s="12">
        <f>49.25+0.23+6.69+0.95+1.75+0.52-2.31</f>
        <v>57.08</v>
      </c>
      <c r="E30" s="5"/>
      <c r="F30" s="23"/>
    </row>
    <row r="31" spans="1:7" x14ac:dyDescent="0.2">
      <c r="A31" s="4">
        <v>16</v>
      </c>
      <c r="B31" s="10" t="s">
        <v>70</v>
      </c>
      <c r="C31" s="12">
        <f>42.25-3+0.75+0.5+59.82+1+1.37+0.97+0.5-0.27+1-1.19-0.4</f>
        <v>103.3</v>
      </c>
      <c r="D31" s="12">
        <f>59.82+1.37+0.97-0.27-1.19</f>
        <v>60.699999999999996</v>
      </c>
      <c r="E31" s="5"/>
      <c r="F31" s="23"/>
    </row>
    <row r="32" spans="1:7" x14ac:dyDescent="0.2">
      <c r="A32" s="4">
        <v>17</v>
      </c>
      <c r="B32" s="9" t="s">
        <v>46</v>
      </c>
      <c r="C32" s="12">
        <f>47.27-3+0.6-3+34.51+1.83-1.5+1.91+1+0.52+0.49+0.26+1+0.05</f>
        <v>81.939999999999984</v>
      </c>
      <c r="D32" s="12">
        <f>33.06+1.45+1.83+1.91+0.52+0.26</f>
        <v>39.03</v>
      </c>
      <c r="E32" s="5"/>
      <c r="F32" s="23"/>
    </row>
    <row r="33" spans="1:7" x14ac:dyDescent="0.2">
      <c r="A33" s="4">
        <v>18</v>
      </c>
      <c r="B33" s="7" t="s">
        <v>16</v>
      </c>
      <c r="C33" s="12">
        <f>22.75+0.5+1+12.65+2.87-0.01+0.04+0.03+0.12+0.03</f>
        <v>39.979999999999997</v>
      </c>
      <c r="D33" s="12">
        <f>12.65+2.87-0.01+0.04+0.12</f>
        <v>15.669999999999998</v>
      </c>
      <c r="E33" s="5"/>
      <c r="F33" s="23"/>
    </row>
    <row r="34" spans="1:7" x14ac:dyDescent="0.2">
      <c r="A34" s="4">
        <v>19</v>
      </c>
      <c r="B34" s="7" t="s">
        <v>53</v>
      </c>
      <c r="C34" s="12">
        <f>63.3+0.5+0.5+0.5+1+0.25+17.43+0.29+2.31+0.01+1+0.49+0.42-0.48+1+0.19</f>
        <v>88.71</v>
      </c>
      <c r="D34" s="12">
        <f>14.52+2.91+0.29+2.31+0.01+0.49-0.48</f>
        <v>20.049999999999997</v>
      </c>
      <c r="E34" s="5"/>
      <c r="F34" s="23"/>
    </row>
    <row r="35" spans="1:7" x14ac:dyDescent="0.2">
      <c r="A35" s="4">
        <v>20</v>
      </c>
      <c r="B35" s="7" t="s">
        <v>78</v>
      </c>
      <c r="C35" s="12">
        <f>17.25+0.5+12+0.34+0.1+0.89-0.25+1.36-1.64+0.03-1.41-29.17</f>
        <v>0</v>
      </c>
      <c r="D35" s="12">
        <f>12+0.34+0.1+0.89+1.36-1.64-1.41-11.64</f>
        <v>0</v>
      </c>
      <c r="E35" s="23"/>
      <c r="F35" s="23"/>
      <c r="G35" s="26"/>
    </row>
    <row r="36" spans="1:7" ht="25.5" x14ac:dyDescent="0.2">
      <c r="A36" s="4">
        <v>21</v>
      </c>
      <c r="B36" s="7" t="s">
        <v>17</v>
      </c>
      <c r="C36" s="12">
        <f>20.9+0.5-0.25+0.1+11.63+1.88+1.33+0.5-1.02-2+0.03-1.04+0.03+1.75</f>
        <v>34.340000000000003</v>
      </c>
      <c r="D36" s="12">
        <f>11.63+1.88+1.33-1.02-1.04</f>
        <v>12.780000000000001</v>
      </c>
      <c r="E36" s="5"/>
      <c r="F36" s="23"/>
    </row>
    <row r="37" spans="1:7" x14ac:dyDescent="0.2">
      <c r="A37" s="4">
        <v>22</v>
      </c>
      <c r="B37" s="7" t="s">
        <v>39</v>
      </c>
      <c r="C37" s="12">
        <f>31.25-3+0.5+15.82+3.5+1.22-1.2-2.91-2.53+0.5-0.25-2.18-1.5</f>
        <v>39.219999999999992</v>
      </c>
      <c r="D37" s="12">
        <f>15.82+1.22-1.2-2.91-2.53-2.18</f>
        <v>8.2200000000000006</v>
      </c>
      <c r="E37" s="5"/>
      <c r="F37" s="23"/>
    </row>
    <row r="38" spans="1:7" x14ac:dyDescent="0.2">
      <c r="A38" s="4">
        <v>23</v>
      </c>
      <c r="B38" s="7" t="s">
        <v>79</v>
      </c>
      <c r="C38" s="12">
        <f>74.5-1+20.46+1.55-8.5+1.34-0.22-1.6+0.32-3.5</f>
        <v>83.350000000000009</v>
      </c>
      <c r="D38" s="12">
        <f>20.46+1.55+1.34-0.22-1.6+0.32</f>
        <v>21.85</v>
      </c>
      <c r="E38" s="5"/>
      <c r="F38" s="23"/>
    </row>
    <row r="39" spans="1:7" x14ac:dyDescent="0.2">
      <c r="A39" s="4">
        <v>24</v>
      </c>
      <c r="B39" s="8" t="s">
        <v>18</v>
      </c>
      <c r="C39" s="12">
        <f>7.25+6.11+3+1.75+1</f>
        <v>19.11</v>
      </c>
      <c r="D39" s="12">
        <f>6.11+3+1</f>
        <v>10.11</v>
      </c>
      <c r="E39" s="5"/>
      <c r="F39" s="5"/>
      <c r="G39" s="25"/>
    </row>
    <row r="40" spans="1:7" x14ac:dyDescent="0.2">
      <c r="A40" s="4">
        <v>25</v>
      </c>
      <c r="B40" s="8" t="s">
        <v>19</v>
      </c>
      <c r="C40" s="12">
        <f>9+9.16</f>
        <v>18.16</v>
      </c>
      <c r="D40" s="12">
        <v>9.16</v>
      </c>
      <c r="E40" s="5"/>
      <c r="F40" s="5"/>
    </row>
    <row r="41" spans="1:7" x14ac:dyDescent="0.2">
      <c r="A41" s="4">
        <v>26</v>
      </c>
      <c r="B41" s="8" t="s">
        <v>20</v>
      </c>
      <c r="C41" s="12">
        <f>14+36.66</f>
        <v>50.66</v>
      </c>
      <c r="D41" s="12">
        <v>36.659999999999997</v>
      </c>
      <c r="E41" s="5"/>
      <c r="F41" s="5"/>
    </row>
    <row r="42" spans="1:7" x14ac:dyDescent="0.2">
      <c r="A42" s="4">
        <v>27</v>
      </c>
      <c r="B42" s="8" t="s">
        <v>40</v>
      </c>
      <c r="C42" s="12">
        <f>29.5+11.22+2+3+3</f>
        <v>48.72</v>
      </c>
      <c r="D42" s="12"/>
      <c r="E42" s="5"/>
      <c r="F42" s="5"/>
    </row>
    <row r="43" spans="1:7" x14ac:dyDescent="0.2">
      <c r="A43" s="4">
        <v>28</v>
      </c>
      <c r="B43" s="8" t="s">
        <v>38</v>
      </c>
      <c r="C43" s="12">
        <f>14.75+1-1</f>
        <v>14.75</v>
      </c>
      <c r="D43" s="12"/>
      <c r="E43" s="5"/>
      <c r="F43" s="5"/>
    </row>
    <row r="44" spans="1:7" x14ac:dyDescent="0.2">
      <c r="A44" s="4">
        <v>29</v>
      </c>
      <c r="B44" s="8" t="s">
        <v>13</v>
      </c>
      <c r="C44" s="12">
        <f>39+0.5+0.25</f>
        <v>39.75</v>
      </c>
      <c r="D44" s="12"/>
      <c r="E44" s="5"/>
      <c r="F44" s="5"/>
    </row>
    <row r="45" spans="1:7" x14ac:dyDescent="0.2">
      <c r="A45" s="4">
        <v>30</v>
      </c>
      <c r="B45" s="8" t="s">
        <v>7</v>
      </c>
      <c r="C45" s="12">
        <f>13+0.5</f>
        <v>13.5</v>
      </c>
      <c r="D45" s="12"/>
      <c r="E45" s="5"/>
      <c r="F45" s="5"/>
    </row>
    <row r="46" spans="1:7" x14ac:dyDescent="0.2">
      <c r="A46" s="4">
        <v>31</v>
      </c>
      <c r="B46" s="8" t="s">
        <v>8</v>
      </c>
      <c r="C46" s="12">
        <f>8.7+0.25+0.5</f>
        <v>9.4499999999999993</v>
      </c>
      <c r="D46" s="12"/>
      <c r="E46" s="5"/>
      <c r="F46" s="5"/>
    </row>
    <row r="47" spans="1:7" x14ac:dyDescent="0.2">
      <c r="A47" s="4">
        <v>32</v>
      </c>
      <c r="B47" s="8" t="s">
        <v>9</v>
      </c>
      <c r="C47" s="12">
        <f>8+0.25+0.5+0.25</f>
        <v>9</v>
      </c>
      <c r="D47" s="12"/>
      <c r="E47" s="5"/>
      <c r="F47" s="5"/>
    </row>
    <row r="48" spans="1:7" x14ac:dyDescent="0.2">
      <c r="A48" s="4">
        <v>33</v>
      </c>
      <c r="B48" s="8" t="s">
        <v>10</v>
      </c>
      <c r="C48" s="12">
        <f>6.25+0.25+0.5</f>
        <v>7</v>
      </c>
      <c r="D48" s="12"/>
      <c r="E48" s="5"/>
      <c r="F48" s="5"/>
    </row>
    <row r="49" spans="1:6" x14ac:dyDescent="0.2">
      <c r="A49" s="4">
        <v>34</v>
      </c>
      <c r="B49" s="8" t="s">
        <v>11</v>
      </c>
      <c r="C49" s="12">
        <v>5.5</v>
      </c>
      <c r="D49" s="12"/>
      <c r="E49" s="5"/>
      <c r="F49" s="5"/>
    </row>
    <row r="50" spans="1:6" ht="25.5" x14ac:dyDescent="0.2">
      <c r="A50" s="4">
        <v>35</v>
      </c>
      <c r="B50" s="7" t="s">
        <v>21</v>
      </c>
      <c r="C50" s="12">
        <f>58.25+0.5+1+0.5</f>
        <v>60.25</v>
      </c>
      <c r="D50" s="12"/>
      <c r="E50" s="5"/>
      <c r="F50" s="5"/>
    </row>
    <row r="51" spans="1:6" x14ac:dyDescent="0.2">
      <c r="A51" s="4">
        <v>36</v>
      </c>
      <c r="B51" s="8" t="s">
        <v>3</v>
      </c>
      <c r="C51" s="12">
        <f>29+2+3</f>
        <v>34</v>
      </c>
      <c r="D51" s="12"/>
      <c r="E51" s="5"/>
      <c r="F51" s="5"/>
    </row>
    <row r="52" spans="1:6" x14ac:dyDescent="0.2">
      <c r="A52" s="4">
        <v>37</v>
      </c>
      <c r="B52" s="7" t="s">
        <v>24</v>
      </c>
      <c r="C52" s="12">
        <v>84</v>
      </c>
      <c r="D52" s="12"/>
      <c r="E52" s="5"/>
      <c r="F52" s="5"/>
    </row>
    <row r="53" spans="1:6" x14ac:dyDescent="0.2">
      <c r="A53" s="4">
        <v>38</v>
      </c>
      <c r="B53" s="15" t="s">
        <v>22</v>
      </c>
      <c r="C53" s="12">
        <f>33.5+1+1+3.5+8.5+1-8</f>
        <v>40.5</v>
      </c>
      <c r="D53" s="12"/>
      <c r="E53" s="5"/>
      <c r="F53" s="5"/>
    </row>
    <row r="54" spans="1:6" x14ac:dyDescent="0.2">
      <c r="A54" s="4">
        <v>39</v>
      </c>
      <c r="B54" s="8" t="s">
        <v>4</v>
      </c>
      <c r="C54" s="12">
        <f>30.75+1.25+2</f>
        <v>34</v>
      </c>
      <c r="D54" s="12"/>
      <c r="E54" s="5"/>
      <c r="F54" s="5"/>
    </row>
    <row r="55" spans="1:6" x14ac:dyDescent="0.2">
      <c r="A55" s="4">
        <v>40</v>
      </c>
      <c r="B55" s="8" t="s">
        <v>5</v>
      </c>
      <c r="C55" s="12">
        <f>30.4+1.5+2+5.5+0.5+0.27+3+0.14</f>
        <v>43.31</v>
      </c>
      <c r="D55" s="12"/>
      <c r="E55" s="5"/>
      <c r="F55" s="5"/>
    </row>
    <row r="56" spans="1:6" x14ac:dyDescent="0.2">
      <c r="A56" s="4">
        <v>41</v>
      </c>
      <c r="B56" s="8" t="s">
        <v>6</v>
      </c>
      <c r="C56" s="12">
        <f>29.93+1.6+1+6.75+0.1+0.5+3.25+0.09</f>
        <v>43.220000000000006</v>
      </c>
      <c r="D56" s="12"/>
      <c r="E56" s="5"/>
      <c r="F56" s="5"/>
    </row>
    <row r="57" spans="1:6" x14ac:dyDescent="0.2">
      <c r="A57" s="4">
        <v>42</v>
      </c>
      <c r="B57" s="8" t="s">
        <v>71</v>
      </c>
      <c r="C57" s="12">
        <f>55.96+1.5+3+0.5+1+2.5+4+5+13+1.5+3+6+1</f>
        <v>97.960000000000008</v>
      </c>
      <c r="D57" s="12"/>
      <c r="E57" s="5"/>
      <c r="F57" s="5"/>
    </row>
    <row r="58" spans="1:6" ht="25.5" x14ac:dyDescent="0.2">
      <c r="A58" s="4">
        <v>43</v>
      </c>
      <c r="B58" s="7" t="s">
        <v>23</v>
      </c>
      <c r="C58" s="12">
        <f>21+1.5+1.5+1+1.5</f>
        <v>26.5</v>
      </c>
      <c r="D58" s="12"/>
      <c r="E58" s="5"/>
      <c r="F58" s="5"/>
    </row>
    <row r="59" spans="1:6" ht="25.5" x14ac:dyDescent="0.2">
      <c r="A59" s="4">
        <v>44</v>
      </c>
      <c r="B59" s="15" t="s">
        <v>37</v>
      </c>
      <c r="C59" s="12">
        <f>4+1</f>
        <v>5</v>
      </c>
      <c r="D59" s="12"/>
      <c r="E59" s="5"/>
      <c r="F59" s="5"/>
    </row>
    <row r="60" spans="1:6" ht="25.5" x14ac:dyDescent="0.2">
      <c r="A60" s="4">
        <v>45</v>
      </c>
      <c r="B60" s="15" t="s">
        <v>47</v>
      </c>
      <c r="C60" s="12">
        <f>4+2</f>
        <v>6</v>
      </c>
      <c r="D60" s="12"/>
      <c r="E60" s="5"/>
      <c r="F60" s="5"/>
    </row>
    <row r="61" spans="1:6" x14ac:dyDescent="0.2">
      <c r="A61" s="4">
        <v>46</v>
      </c>
      <c r="B61" s="18" t="s">
        <v>25</v>
      </c>
      <c r="C61" s="12">
        <f>133.5+1+5+17.2+1+1+1+3+0.6</f>
        <v>163.29999999999998</v>
      </c>
      <c r="D61" s="12"/>
      <c r="E61" s="5"/>
      <c r="F61" s="5"/>
    </row>
    <row r="62" spans="1:6" ht="25.5" x14ac:dyDescent="0.2">
      <c r="A62" s="4">
        <v>47</v>
      </c>
      <c r="B62" s="7" t="s">
        <v>36</v>
      </c>
      <c r="C62" s="12">
        <f>39.75-4-4.5+2</f>
        <v>33.25</v>
      </c>
      <c r="D62" s="12"/>
      <c r="E62" s="5"/>
      <c r="F62" s="5"/>
    </row>
    <row r="63" spans="1:6" ht="25.5" x14ac:dyDescent="0.2">
      <c r="A63" s="4">
        <v>48</v>
      </c>
      <c r="B63" s="7" t="s">
        <v>26</v>
      </c>
      <c r="C63" s="12">
        <f>17.75+0.75-1-1-1.3</f>
        <v>15.2</v>
      </c>
      <c r="D63" s="12"/>
      <c r="E63" s="5"/>
      <c r="F63" s="5"/>
    </row>
    <row r="64" spans="1:6" ht="25.5" x14ac:dyDescent="0.2">
      <c r="A64" s="4">
        <v>49</v>
      </c>
      <c r="B64" s="7" t="s">
        <v>27</v>
      </c>
      <c r="C64" s="12">
        <f>17.8+0.5-0.5-1.5-1.7</f>
        <v>14.600000000000001</v>
      </c>
      <c r="D64" s="12"/>
      <c r="E64" s="5"/>
      <c r="F64" s="5"/>
    </row>
    <row r="65" spans="1:7" ht="25.5" x14ac:dyDescent="0.2">
      <c r="A65" s="4">
        <v>50</v>
      </c>
      <c r="B65" s="7" t="s">
        <v>29</v>
      </c>
      <c r="C65" s="12">
        <f>14.45+0.25-0.25-1-1.7-0.6</f>
        <v>11.15</v>
      </c>
      <c r="D65" s="12"/>
      <c r="E65" s="5"/>
      <c r="F65" s="5"/>
    </row>
    <row r="66" spans="1:7" ht="25.5" x14ac:dyDescent="0.2">
      <c r="A66" s="4">
        <v>51</v>
      </c>
      <c r="B66" s="7" t="s">
        <v>28</v>
      </c>
      <c r="C66" s="12">
        <f>16.2+0.5-0.5-1.5-1.2+0.5</f>
        <v>14</v>
      </c>
      <c r="D66" s="12"/>
      <c r="E66" s="5"/>
      <c r="F66" s="5"/>
    </row>
    <row r="67" spans="1:7" ht="25.5" x14ac:dyDescent="0.2">
      <c r="A67" s="4">
        <v>52</v>
      </c>
      <c r="B67" s="7" t="s">
        <v>30</v>
      </c>
      <c r="C67" s="12">
        <f>15.2-0.25-1-1.7</f>
        <v>12.25</v>
      </c>
      <c r="D67" s="12"/>
      <c r="E67" s="5"/>
      <c r="F67" s="5"/>
    </row>
    <row r="68" spans="1:7" ht="25.5" x14ac:dyDescent="0.2">
      <c r="A68" s="4">
        <v>53</v>
      </c>
      <c r="B68" s="15" t="s">
        <v>31</v>
      </c>
      <c r="C68" s="12">
        <f>10.45+0.5-0.5-1-1.7+8.75-0.5</f>
        <v>16</v>
      </c>
      <c r="D68" s="12"/>
      <c r="E68" s="5"/>
      <c r="F68" s="5"/>
    </row>
    <row r="69" spans="1:7" ht="25.5" x14ac:dyDescent="0.2">
      <c r="A69" s="4">
        <v>54</v>
      </c>
      <c r="B69" s="7" t="s">
        <v>33</v>
      </c>
      <c r="C69" s="12">
        <f>11.95-0.5-1-1.2+1</f>
        <v>10.25</v>
      </c>
      <c r="D69" s="12"/>
      <c r="E69" s="5"/>
      <c r="F69" s="5"/>
    </row>
    <row r="70" spans="1:7" ht="25.5" x14ac:dyDescent="0.2">
      <c r="A70" s="4">
        <v>55</v>
      </c>
      <c r="B70" s="7" t="s">
        <v>32</v>
      </c>
      <c r="C70" s="12">
        <f>15.2-1.5-1.7</f>
        <v>12</v>
      </c>
      <c r="D70" s="12"/>
      <c r="E70" s="5"/>
      <c r="F70" s="5"/>
    </row>
    <row r="71" spans="1:7" ht="25.5" x14ac:dyDescent="0.2">
      <c r="A71" s="4">
        <v>56</v>
      </c>
      <c r="B71" s="7" t="s">
        <v>34</v>
      </c>
      <c r="C71" s="12">
        <f>13.2+0.5-0.5-1.5-1.7+0.4+0.6</f>
        <v>11</v>
      </c>
      <c r="D71" s="12"/>
      <c r="E71" s="5"/>
      <c r="F71" s="5"/>
    </row>
    <row r="72" spans="1:7" ht="25.5" x14ac:dyDescent="0.2">
      <c r="A72" s="4">
        <v>57</v>
      </c>
      <c r="B72" s="7" t="s">
        <v>35</v>
      </c>
      <c r="C72" s="12">
        <f>27.7+0.5-2-4.7</f>
        <v>21.5</v>
      </c>
      <c r="D72" s="12"/>
      <c r="E72" s="5"/>
      <c r="F72" s="5"/>
    </row>
    <row r="73" spans="1:7" x14ac:dyDescent="0.2">
      <c r="A73" s="4">
        <v>58</v>
      </c>
      <c r="B73" s="16" t="s">
        <v>12</v>
      </c>
      <c r="C73" s="20">
        <f>SUM(C16:C72)</f>
        <v>2537.19</v>
      </c>
      <c r="D73" s="17">
        <f>SUM(D16:D72)</f>
        <v>504.93000000000006</v>
      </c>
      <c r="E73" s="21"/>
      <c r="F73" s="21"/>
      <c r="G73" s="21"/>
    </row>
    <row r="74" spans="1:7" x14ac:dyDescent="0.2">
      <c r="C74" s="5"/>
    </row>
    <row r="75" spans="1:7" x14ac:dyDescent="0.2">
      <c r="C75" s="19"/>
      <c r="D75" s="22"/>
    </row>
    <row r="76" spans="1:7" x14ac:dyDescent="0.2">
      <c r="C76" s="6"/>
      <c r="D76" s="6"/>
    </row>
    <row r="77" spans="1:7" x14ac:dyDescent="0.2">
      <c r="B77" s="2"/>
      <c r="C77" s="5"/>
      <c r="D77" s="5"/>
    </row>
    <row r="78" spans="1:7" x14ac:dyDescent="0.2">
      <c r="B78" s="2"/>
      <c r="C78" s="5"/>
      <c r="D78" s="2"/>
    </row>
    <row r="79" spans="1:7" x14ac:dyDescent="0.2">
      <c r="B79" s="2"/>
      <c r="C79" s="5"/>
      <c r="D79" s="2"/>
    </row>
    <row r="80" spans="1:7" x14ac:dyDescent="0.2">
      <c r="B80" s="2"/>
      <c r="C80" s="5"/>
      <c r="D80" s="2"/>
    </row>
    <row r="81" spans="2:4" x14ac:dyDescent="0.2">
      <c r="B81" s="2"/>
      <c r="D81" s="2"/>
    </row>
    <row r="82" spans="2:4" x14ac:dyDescent="0.2">
      <c r="D82" s="2"/>
    </row>
    <row r="83" spans="2:4" x14ac:dyDescent="0.2">
      <c r="D83" s="2"/>
    </row>
    <row r="84" spans="2:4" x14ac:dyDescent="0.2">
      <c r="D84" s="2"/>
    </row>
    <row r="85" spans="2:4" x14ac:dyDescent="0.2">
      <c r="D85" s="2"/>
    </row>
    <row r="86" spans="2:4" x14ac:dyDescent="0.2">
      <c r="D86" s="2"/>
    </row>
  </sheetData>
  <mergeCells count="11">
    <mergeCell ref="A8:D8"/>
    <mergeCell ref="A9:C9"/>
    <mergeCell ref="A10:A14"/>
    <mergeCell ref="B10:B14"/>
    <mergeCell ref="C10:D13"/>
    <mergeCell ref="A7:D7"/>
    <mergeCell ref="C1:D1"/>
    <mergeCell ref="C2:D2"/>
    <mergeCell ref="C3:D3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4"/>
  <sheetViews>
    <sheetView workbookViewId="0">
      <selection activeCell="N9" sqref="N9"/>
    </sheetView>
  </sheetViews>
  <sheetFormatPr defaultColWidth="14.42578125" defaultRowHeight="14.25" x14ac:dyDescent="0.2"/>
  <cols>
    <col min="1" max="1" width="4.7109375" style="27" customWidth="1"/>
    <col min="2" max="2" width="30.28515625" style="27" customWidth="1"/>
    <col min="3" max="3" width="21.5703125" style="27" customWidth="1"/>
    <col min="4" max="4" width="7.85546875" style="27" customWidth="1"/>
    <col min="5" max="5" width="7.28515625" style="27" customWidth="1"/>
    <col min="6" max="6" width="21.85546875" style="27" customWidth="1"/>
    <col min="7" max="7" width="12.7109375" style="27" customWidth="1"/>
    <col min="8" max="8" width="35.7109375" style="27" customWidth="1"/>
    <col min="9" max="9" width="5.7109375" style="27" customWidth="1"/>
    <col min="10" max="10" width="5.28515625" style="27" customWidth="1"/>
    <col min="11" max="11" width="6.42578125" style="27" bestFit="1" customWidth="1"/>
    <col min="12" max="12" width="9.42578125" style="27" customWidth="1"/>
    <col min="13" max="26" width="8" style="27" customWidth="1"/>
    <col min="27" max="16384" width="14.42578125" style="27"/>
  </cols>
  <sheetData>
    <row r="1" spans="1:26" ht="12.75" customHeight="1" x14ac:dyDescent="0.25">
      <c r="A1" s="42"/>
      <c r="B1" s="42"/>
      <c r="C1" s="42"/>
      <c r="D1" s="42"/>
      <c r="E1" s="42"/>
      <c r="F1" s="42"/>
      <c r="G1" s="42"/>
      <c r="H1" s="43" t="s">
        <v>54</v>
      </c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2.75" customHeight="1" x14ac:dyDescent="0.25">
      <c r="A2" s="71" t="s">
        <v>55</v>
      </c>
      <c r="B2" s="72"/>
      <c r="C2" s="72"/>
      <c r="D2" s="72"/>
      <c r="E2" s="72"/>
      <c r="F2" s="72"/>
      <c r="G2" s="72"/>
      <c r="H2" s="7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2.75" customHeight="1" x14ac:dyDescent="0.25">
      <c r="A3" s="71" t="s">
        <v>56</v>
      </c>
      <c r="B3" s="72"/>
      <c r="C3" s="72"/>
      <c r="D3" s="72"/>
      <c r="E3" s="72"/>
      <c r="F3" s="72"/>
      <c r="G3" s="72"/>
      <c r="H3" s="7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2.75" customHeight="1" x14ac:dyDescent="0.25">
      <c r="A4" s="71" t="s">
        <v>57</v>
      </c>
      <c r="B4" s="72"/>
      <c r="C4" s="72"/>
      <c r="D4" s="72"/>
      <c r="E4" s="72"/>
      <c r="F4" s="72"/>
      <c r="G4" s="72"/>
      <c r="H4" s="7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2.75" customHeight="1" x14ac:dyDescent="0.25">
      <c r="A5" s="71" t="s">
        <v>58</v>
      </c>
      <c r="B5" s="72"/>
      <c r="C5" s="72"/>
      <c r="D5" s="72"/>
      <c r="E5" s="72"/>
      <c r="F5" s="72"/>
      <c r="G5" s="72"/>
      <c r="H5" s="7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2.75" customHeight="1" x14ac:dyDescent="0.25">
      <c r="A6" s="73"/>
      <c r="B6" s="72"/>
      <c r="C6" s="72"/>
      <c r="D6" s="44"/>
      <c r="E6" s="44"/>
      <c r="F6" s="44"/>
      <c r="G6" s="44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2.75" customHeight="1" x14ac:dyDescent="0.25">
      <c r="A7" s="74"/>
      <c r="B7" s="77" t="s">
        <v>59</v>
      </c>
      <c r="C7" s="78" t="s">
        <v>82</v>
      </c>
      <c r="D7" s="80" t="s">
        <v>1</v>
      </c>
      <c r="E7" s="80" t="s">
        <v>2</v>
      </c>
      <c r="F7" s="78" t="s">
        <v>84</v>
      </c>
      <c r="G7" s="81" t="s">
        <v>81</v>
      </c>
      <c r="H7" s="80" t="s">
        <v>60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2.75" customHeight="1" x14ac:dyDescent="0.25">
      <c r="A8" s="75"/>
      <c r="B8" s="75"/>
      <c r="C8" s="79"/>
      <c r="D8" s="75"/>
      <c r="E8" s="75"/>
      <c r="F8" s="79"/>
      <c r="G8" s="82"/>
      <c r="H8" s="75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7.5" customHeight="1" x14ac:dyDescent="0.25">
      <c r="A9" s="76"/>
      <c r="B9" s="76"/>
      <c r="C9" s="79"/>
      <c r="D9" s="76"/>
      <c r="E9" s="76"/>
      <c r="F9" s="79"/>
      <c r="G9" s="83"/>
      <c r="H9" s="76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5">
      <c r="A10" s="45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64.5" x14ac:dyDescent="0.25">
      <c r="A11" s="4">
        <v>1</v>
      </c>
      <c r="B11" s="8" t="s">
        <v>62</v>
      </c>
      <c r="C11" s="12">
        <f>42.01+0.5-3+0.25+0.72+0.5+0.5-1.22+0.56</f>
        <v>40.82</v>
      </c>
      <c r="D11" s="28">
        <f>0.46+0.5+1</f>
        <v>1.96</v>
      </c>
      <c r="E11" s="29"/>
      <c r="F11" s="30">
        <f>+C11+D11-E11</f>
        <v>42.78</v>
      </c>
      <c r="G11" s="46" t="s">
        <v>87</v>
      </c>
      <c r="H11" s="7" t="s">
        <v>101</v>
      </c>
      <c r="I11" s="42"/>
      <c r="J11" s="42"/>
      <c r="K11" s="42"/>
      <c r="L11" s="42"/>
      <c r="M11" s="42"/>
      <c r="N11" s="47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30" x14ac:dyDescent="0.25">
      <c r="A12" s="4">
        <v>2</v>
      </c>
      <c r="B12" s="8" t="s">
        <v>63</v>
      </c>
      <c r="C12" s="12">
        <f>46.25-2.5-0.25+1+0.56</f>
        <v>45.06</v>
      </c>
      <c r="D12" s="28">
        <v>0.46</v>
      </c>
      <c r="E12" s="31"/>
      <c r="F12" s="30">
        <f t="shared" ref="F12:F31" si="0">+C12+D12-E12</f>
        <v>45.52</v>
      </c>
      <c r="G12" s="46" t="s">
        <v>88</v>
      </c>
      <c r="H12" s="69" t="s">
        <v>85</v>
      </c>
      <c r="I12" s="42"/>
      <c r="J12" s="42"/>
      <c r="K12" s="42"/>
      <c r="L12" s="42"/>
      <c r="M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30" x14ac:dyDescent="0.25">
      <c r="A13" s="4">
        <v>3</v>
      </c>
      <c r="B13" s="8" t="s">
        <v>72</v>
      </c>
      <c r="C13" s="12">
        <f>41.65+0.5-3+0.25+2.5+1+0.63+0.5</f>
        <v>44.03</v>
      </c>
      <c r="D13" s="12">
        <v>0.5</v>
      </c>
      <c r="E13" s="32"/>
      <c r="F13" s="30">
        <f t="shared" si="0"/>
        <v>44.53</v>
      </c>
      <c r="G13" s="46" t="s">
        <v>89</v>
      </c>
      <c r="H13" s="70"/>
      <c r="I13" s="42"/>
      <c r="J13" s="42"/>
      <c r="K13" s="48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4">
        <v>4</v>
      </c>
      <c r="B14" s="8" t="s">
        <v>73</v>
      </c>
      <c r="C14" s="12">
        <f>44.43+0.5-2.5+2.5+1+0.69</f>
        <v>46.62</v>
      </c>
      <c r="D14" s="12">
        <v>0.55000000000000004</v>
      </c>
      <c r="E14" s="33"/>
      <c r="F14" s="30">
        <f t="shared" si="0"/>
        <v>47.169999999999995</v>
      </c>
      <c r="G14" s="46" t="s">
        <v>89</v>
      </c>
      <c r="H14" s="70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30" x14ac:dyDescent="0.25">
      <c r="A15" s="4">
        <v>5</v>
      </c>
      <c r="B15" s="8" t="s">
        <v>64</v>
      </c>
      <c r="C15" s="12">
        <f>46.15+0.5-2.5+0.25+0.84</f>
        <v>45.24</v>
      </c>
      <c r="D15" s="12">
        <v>0.55000000000000004</v>
      </c>
      <c r="E15" s="34"/>
      <c r="F15" s="30">
        <f t="shared" si="0"/>
        <v>45.79</v>
      </c>
      <c r="G15" s="46" t="s">
        <v>90</v>
      </c>
      <c r="H15" s="70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30" x14ac:dyDescent="0.25">
      <c r="A16" s="4">
        <v>6</v>
      </c>
      <c r="B16" s="8" t="s">
        <v>65</v>
      </c>
      <c r="C16" s="12">
        <f>49.49-3+0.25-2.5+2.5+1.5+1+0.5+0.66</f>
        <v>50.4</v>
      </c>
      <c r="D16" s="12">
        <v>0.4</v>
      </c>
      <c r="E16" s="35"/>
      <c r="F16" s="30">
        <f t="shared" si="0"/>
        <v>50.8</v>
      </c>
      <c r="G16" s="46" t="s">
        <v>88</v>
      </c>
      <c r="H16" s="84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68.25" customHeight="1" x14ac:dyDescent="0.25">
      <c r="A17" s="4">
        <v>7</v>
      </c>
      <c r="B17" s="8" t="s">
        <v>66</v>
      </c>
      <c r="C17" s="12">
        <f>47.4+0.5-3+1+0.5+0.69</f>
        <v>47.089999999999996</v>
      </c>
      <c r="D17" s="12">
        <f>0.55+0.5+1.5</f>
        <v>2.5499999999999998</v>
      </c>
      <c r="E17" s="35"/>
      <c r="F17" s="36">
        <f t="shared" si="0"/>
        <v>49.639999999999993</v>
      </c>
      <c r="G17" s="46" t="s">
        <v>91</v>
      </c>
      <c r="H17" s="49" t="s">
        <v>102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8.25" x14ac:dyDescent="0.25">
      <c r="A18" s="4">
        <v>8</v>
      </c>
      <c r="B18" s="7" t="s">
        <v>67</v>
      </c>
      <c r="C18" s="12">
        <f>38+0.5-2.5+0.25+0.25+5.33-0.54+0.3+0.43+1.5+1-0.23+0.5+0.44+1.5+1.5</f>
        <v>48.23</v>
      </c>
      <c r="D18" s="12">
        <v>0.35</v>
      </c>
      <c r="E18" s="35"/>
      <c r="F18" s="30">
        <f t="shared" si="0"/>
        <v>48.58</v>
      </c>
      <c r="G18" s="46" t="s">
        <v>92</v>
      </c>
      <c r="H18" s="50" t="s">
        <v>85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63.75" x14ac:dyDescent="0.25">
      <c r="A19" s="4">
        <v>11</v>
      </c>
      <c r="B19" s="8" t="s">
        <v>50</v>
      </c>
      <c r="C19" s="12">
        <f>71+2.5+29.52+2.5-3.13+3-0.75+0.41+1+1.35+0.41-0.47+1.5</f>
        <v>108.83999999999999</v>
      </c>
      <c r="D19" s="37">
        <f>0.33+0.02+29.17-0.25</f>
        <v>29.270000000000003</v>
      </c>
      <c r="E19" s="35"/>
      <c r="F19" s="30">
        <f t="shared" si="0"/>
        <v>138.10999999999999</v>
      </c>
      <c r="G19" s="46" t="s">
        <v>93</v>
      </c>
      <c r="H19" s="51" t="s">
        <v>103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30" x14ac:dyDescent="0.25">
      <c r="A20" s="4">
        <v>12</v>
      </c>
      <c r="B20" s="7" t="s">
        <v>51</v>
      </c>
      <c r="C20" s="12">
        <f>48.65-0.6+28.12+0.3+4.47-13.95-10.67+1.75+1.51-1+0.06+1.18</f>
        <v>59.819999999999993</v>
      </c>
      <c r="D20" s="37">
        <v>0.05</v>
      </c>
      <c r="E20" s="35"/>
      <c r="F20" s="30">
        <f t="shared" si="0"/>
        <v>59.86999999999999</v>
      </c>
      <c r="G20" s="46" t="s">
        <v>94</v>
      </c>
      <c r="H20" s="69" t="s">
        <v>85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30" x14ac:dyDescent="0.25">
      <c r="A21" s="4">
        <v>13</v>
      </c>
      <c r="B21" s="7" t="s">
        <v>14</v>
      </c>
      <c r="C21" s="12">
        <f>75.25-1.05+24.01+0.29+1+1.94-0.27+0.5+1.03+0.25-1.64</f>
        <v>101.31000000000002</v>
      </c>
      <c r="D21" s="37">
        <v>0.22</v>
      </c>
      <c r="E21" s="35"/>
      <c r="F21" s="30">
        <f t="shared" si="0"/>
        <v>101.53000000000002</v>
      </c>
      <c r="G21" s="46" t="s">
        <v>95</v>
      </c>
      <c r="H21" s="70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30" x14ac:dyDescent="0.25">
      <c r="A22" s="4">
        <v>14</v>
      </c>
      <c r="B22" s="8" t="s">
        <v>52</v>
      </c>
      <c r="C22" s="12">
        <f>35.5+21.51+0.34+1.9-0.25-0.93+0.5+0.19+0.5+12.5+1+1.06+2.6+0.5</f>
        <v>76.92</v>
      </c>
      <c r="D22" s="37">
        <v>0.06</v>
      </c>
      <c r="E22" s="35"/>
      <c r="F22" s="30">
        <f t="shared" si="0"/>
        <v>76.98</v>
      </c>
      <c r="G22" s="46" t="s">
        <v>94</v>
      </c>
      <c r="H22" s="70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30" x14ac:dyDescent="0.25">
      <c r="A23" s="4">
        <v>17</v>
      </c>
      <c r="B23" s="9" t="s">
        <v>46</v>
      </c>
      <c r="C23" s="12">
        <f>47.27-3+0.6-3+34.51+1.83-1.5+1.91+1+0.52+0.49+0.26+1</f>
        <v>81.889999999999986</v>
      </c>
      <c r="D23" s="37">
        <v>0.05</v>
      </c>
      <c r="E23" s="35"/>
      <c r="F23" s="30">
        <f t="shared" si="0"/>
        <v>81.939999999999984</v>
      </c>
      <c r="G23" s="46" t="s">
        <v>94</v>
      </c>
      <c r="H23" s="70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30" x14ac:dyDescent="0.25">
      <c r="A24" s="4">
        <v>18</v>
      </c>
      <c r="B24" s="7" t="s">
        <v>16</v>
      </c>
      <c r="C24" s="12">
        <f>22.75+0.5+1+12.65+2.87-0.01+0.04+0.03+0.12</f>
        <v>39.949999999999996</v>
      </c>
      <c r="D24" s="37">
        <v>0.03</v>
      </c>
      <c r="E24" s="35"/>
      <c r="F24" s="30">
        <f t="shared" si="0"/>
        <v>39.979999999999997</v>
      </c>
      <c r="G24" s="46" t="s">
        <v>94</v>
      </c>
      <c r="H24" s="70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30" x14ac:dyDescent="0.25">
      <c r="A25" s="4">
        <v>19</v>
      </c>
      <c r="B25" s="7" t="s">
        <v>53</v>
      </c>
      <c r="C25" s="12">
        <f>63.3+0.5+0.5+0.5+1+0.25+17.43+0.29+2.31+0.01+1+0.49+0.42-0.48+1</f>
        <v>88.52</v>
      </c>
      <c r="D25" s="37">
        <v>0.19</v>
      </c>
      <c r="E25" s="35"/>
      <c r="F25" s="30">
        <f t="shared" si="0"/>
        <v>88.71</v>
      </c>
      <c r="G25" s="46" t="s">
        <v>95</v>
      </c>
      <c r="H25" s="84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8.25" x14ac:dyDescent="0.25">
      <c r="A26" s="4">
        <v>20</v>
      </c>
      <c r="B26" s="7" t="s">
        <v>78</v>
      </c>
      <c r="C26" s="12">
        <f>17.25+0.5+12+0.34+0.1+0.89-0.25+1.36-1.64+0.03-1.41</f>
        <v>29.170000000000005</v>
      </c>
      <c r="D26" s="37"/>
      <c r="E26" s="38">
        <v>29.17</v>
      </c>
      <c r="F26" s="36">
        <f t="shared" si="0"/>
        <v>0</v>
      </c>
      <c r="G26" s="46" t="s">
        <v>96</v>
      </c>
      <c r="H26" s="51" t="s">
        <v>86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51.75" x14ac:dyDescent="0.25">
      <c r="A27" s="4">
        <v>21</v>
      </c>
      <c r="B27" s="7" t="s">
        <v>17</v>
      </c>
      <c r="C27" s="12">
        <f>20.9+0.5-0.25+0.1+11.63+1.88+1.33+0.5-1.02-2+0.03-1.04</f>
        <v>32.56</v>
      </c>
      <c r="D27" s="37">
        <f>0.03+1.75</f>
        <v>1.78</v>
      </c>
      <c r="E27" s="35"/>
      <c r="F27" s="36">
        <f t="shared" si="0"/>
        <v>34.340000000000003</v>
      </c>
      <c r="G27" s="52" t="s">
        <v>100</v>
      </c>
      <c r="H27" s="49" t="s">
        <v>104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26.25" x14ac:dyDescent="0.25">
      <c r="A28" s="4">
        <v>24</v>
      </c>
      <c r="B28" s="8" t="s">
        <v>18</v>
      </c>
      <c r="C28" s="12">
        <f>7.25+6.11+3+1.75</f>
        <v>18.11</v>
      </c>
      <c r="D28" s="37">
        <v>1</v>
      </c>
      <c r="E28" s="35"/>
      <c r="F28" s="36">
        <f t="shared" si="0"/>
        <v>19.11</v>
      </c>
      <c r="G28" s="39" t="s">
        <v>97</v>
      </c>
      <c r="H28" s="40" t="s">
        <v>98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30" x14ac:dyDescent="0.25">
      <c r="A29" s="4">
        <v>40</v>
      </c>
      <c r="B29" s="8" t="s">
        <v>5</v>
      </c>
      <c r="C29" s="12">
        <f>30.4+1.5+2+5.5+0.5+0.27+3</f>
        <v>43.17</v>
      </c>
      <c r="D29" s="37">
        <v>0.14000000000000001</v>
      </c>
      <c r="E29" s="35"/>
      <c r="F29" s="36">
        <f t="shared" si="0"/>
        <v>43.31</v>
      </c>
      <c r="G29" s="53" t="s">
        <v>99</v>
      </c>
      <c r="H29" s="69" t="s">
        <v>85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30" x14ac:dyDescent="0.25">
      <c r="A30" s="4">
        <v>41</v>
      </c>
      <c r="B30" s="8" t="s">
        <v>6</v>
      </c>
      <c r="C30" s="12">
        <f>29.93+1.6+1+6.75+0.1+0.5+3.25</f>
        <v>43.13</v>
      </c>
      <c r="D30" s="37">
        <v>0.09</v>
      </c>
      <c r="E30" s="35"/>
      <c r="F30" s="36">
        <f t="shared" si="0"/>
        <v>43.220000000000006</v>
      </c>
      <c r="G30" s="54" t="s">
        <v>94</v>
      </c>
      <c r="H30" s="70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2.75" customHeight="1" x14ac:dyDescent="0.25">
      <c r="A31" s="55"/>
      <c r="B31" s="56" t="s">
        <v>12</v>
      </c>
      <c r="C31" s="57">
        <v>2526.16</v>
      </c>
      <c r="D31" s="57">
        <f>SUM(D11:D30)</f>
        <v>40.200000000000003</v>
      </c>
      <c r="E31" s="57">
        <f>SUM(E11:E30)</f>
        <v>29.17</v>
      </c>
      <c r="F31" s="57">
        <f t="shared" si="0"/>
        <v>2537.1899999999996</v>
      </c>
      <c r="G31" s="58">
        <f>+G37</f>
        <v>62.2</v>
      </c>
      <c r="H31" s="41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2.75" customHeight="1" x14ac:dyDescent="0.25">
      <c r="A32" s="44"/>
      <c r="B32" s="59"/>
      <c r="C32" s="60"/>
      <c r="D32" s="61"/>
      <c r="E32" s="61"/>
      <c r="F32" s="60"/>
      <c r="G32" s="62"/>
      <c r="H32" s="63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2.75" customHeight="1" x14ac:dyDescent="0.25">
      <c r="A33" s="42"/>
      <c r="B33" s="42"/>
      <c r="C33" s="42"/>
      <c r="D33" s="43" t="s">
        <v>61</v>
      </c>
      <c r="E33" s="60">
        <f>+D31-E31</f>
        <v>11.030000000000001</v>
      </c>
      <c r="F33" s="43"/>
      <c r="G33" s="48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2.75" hidden="1" customHeight="1" x14ac:dyDescent="0.25">
      <c r="A34" s="42"/>
      <c r="B34" s="42"/>
      <c r="C34" s="42"/>
      <c r="D34" s="43"/>
      <c r="E34" s="42"/>
      <c r="F34" s="43"/>
      <c r="G34" s="48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2.75" customHeight="1" x14ac:dyDescent="0.25">
      <c r="A35" s="42"/>
      <c r="B35" s="42"/>
      <c r="C35" s="47"/>
      <c r="D35" s="43"/>
      <c r="E35" s="42"/>
      <c r="F35" s="43" t="s">
        <v>77</v>
      </c>
      <c r="G35" s="48">
        <f>7.3+12.6-0.9-5.8</f>
        <v>13.2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2.75" customHeight="1" x14ac:dyDescent="0.25">
      <c r="A36" s="42"/>
      <c r="B36" s="42"/>
      <c r="C36" s="47"/>
      <c r="D36" s="43"/>
      <c r="E36" s="42"/>
      <c r="F36" s="43" t="s">
        <v>76</v>
      </c>
      <c r="G36" s="48">
        <f>21.9+27.1</f>
        <v>49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2.75" customHeight="1" x14ac:dyDescent="0.25">
      <c r="A37" s="42"/>
      <c r="B37" s="42"/>
      <c r="C37" s="60"/>
      <c r="D37" s="42"/>
      <c r="E37" s="42"/>
      <c r="F37" s="43"/>
      <c r="G37" s="62">
        <f>SUM(G35:G36)</f>
        <v>62.2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2.75" customHeight="1" x14ac:dyDescent="0.25">
      <c r="A38" s="42"/>
      <c r="B38" s="42"/>
      <c r="C38" s="42"/>
      <c r="D38" s="42"/>
      <c r="E38" s="42"/>
      <c r="F38" s="43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2.75" customHeight="1" x14ac:dyDescent="0.25">
      <c r="A39" s="42"/>
      <c r="B39" s="42"/>
      <c r="C39" s="42"/>
      <c r="D39" s="42"/>
      <c r="E39" s="42"/>
      <c r="F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2.7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2.75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 x14ac:dyDescent="0.25">
      <c r="A42" s="42"/>
      <c r="B42" s="42"/>
      <c r="C42" s="42"/>
      <c r="D42" s="42"/>
      <c r="E42" s="42"/>
      <c r="F42" s="42"/>
      <c r="G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2.7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2.75" customHeight="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2.75" customHeight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2.75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2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2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2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2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2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2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2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2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2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2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2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2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2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2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2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2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2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2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2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2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2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2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2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2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2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2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2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2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2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2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2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2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2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2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2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2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2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2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2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2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2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2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2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2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2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2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2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2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2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2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2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2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2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2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2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2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2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2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2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2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2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2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2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2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2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2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2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2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2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2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2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2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2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2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2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2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2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2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2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2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2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2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2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2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2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2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2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2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2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2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2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2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2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2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2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2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2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2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2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2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2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2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2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2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2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2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2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2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2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2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2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2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2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2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2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2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2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2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2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2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2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2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2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2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2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2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2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2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2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2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2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2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2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2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2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2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2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2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2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2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2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2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2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2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2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2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2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2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2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2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2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2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2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2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2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2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2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2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2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2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2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2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2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2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2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2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2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2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2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2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2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2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2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2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2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2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2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2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2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2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2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2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2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2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2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2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2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2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2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2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2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2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2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2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2.7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2.7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2.75" customHeight="1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2.75" customHeight="1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2.75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2.75" customHeight="1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2.75" customHeight="1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2.75" customHeight="1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2.75" customHeight="1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2.75" customHeight="1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2.75" customHeight="1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2.75" customHeight="1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2.75" customHeight="1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2.75" customHeight="1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2.75" customHeight="1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2.75" customHeight="1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2.75" customHeight="1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2.75" customHeight="1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2.75" customHeight="1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2.75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2.75" customHeight="1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2.75" customHeight="1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2.75" customHeight="1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2.75" customHeight="1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2.75" customHeight="1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2.75" customHeight="1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2.75" customHeight="1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2.75" customHeight="1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2.75" customHeight="1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2.75" customHeight="1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2.75" customHeight="1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2.75" customHeight="1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2.75" customHeight="1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2.75" customHeight="1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2.75" customHeight="1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2.75" customHeight="1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2.75" customHeight="1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2.75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2.75" customHeight="1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2.75" customHeight="1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2.75" customHeight="1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2.75" customHeight="1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2.75" customHeight="1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2.75" customHeight="1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2.75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2.75" customHeight="1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2.75" customHeight="1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2.75" customHeight="1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2.75" customHeight="1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2.75" customHeight="1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2.75" customHeight="1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2.75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2.75" customHeight="1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2.75" customHeight="1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2.75" customHeight="1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2.75" customHeight="1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2.75" customHeight="1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2.75" customHeight="1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2.75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2.75" customHeight="1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2.75" customHeight="1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2.75" customHeight="1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2.75" customHeight="1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2.75" customHeight="1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2.75" customHeight="1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2.75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2.75" customHeight="1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2.75" customHeight="1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2.75" customHeight="1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2.75" customHeight="1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2.75" customHeight="1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2.75" customHeight="1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2.75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2.75" customHeight="1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2.75" customHeight="1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2.75" customHeight="1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2.75" customHeight="1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2.75" customHeight="1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2.75" customHeight="1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2.75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2.75" customHeight="1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2.75" customHeight="1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2.75" customHeight="1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2.75" customHeight="1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2.75" customHeight="1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2.75" customHeight="1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2.75" customHeight="1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2.75" customHeight="1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2.75" customHeight="1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2.75" customHeight="1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2.75" customHeight="1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2.75" customHeight="1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2.75" customHeight="1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2.75" customHeight="1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2.75" customHeight="1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2.75" customHeight="1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2.75" customHeight="1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2.75" customHeight="1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2.75" customHeight="1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2.75" customHeight="1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2.75" customHeight="1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2.75" customHeight="1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2.75" customHeight="1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2.75" customHeight="1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2.75" customHeight="1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2.75" customHeight="1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2.75" customHeight="1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2.75" customHeight="1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2.75" customHeight="1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2.75" customHeight="1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2.75" customHeight="1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2.75" customHeight="1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2.75" customHeight="1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2.75" customHeight="1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2.75" customHeight="1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2.75" customHeight="1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2.75" customHeight="1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2.75" customHeight="1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2.75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2.75" customHeight="1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2.75" customHeight="1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2.75" customHeight="1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2.75" customHeight="1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2.75" customHeight="1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2.75" customHeight="1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2.75" customHeight="1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2.75" customHeight="1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2.75" customHeight="1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2.75" customHeight="1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2.75" customHeight="1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2.75" customHeight="1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2.75" customHeight="1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2.75" customHeight="1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2.75" customHeight="1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2.75" customHeight="1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2.75" customHeight="1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2.75" customHeight="1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2.75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2.75" customHeight="1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2.75" customHeight="1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2.75" customHeight="1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2.75" customHeight="1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2.75" customHeight="1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2.75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2.75" customHeight="1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2.75" customHeight="1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2.75" customHeight="1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2.75" customHeight="1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2.75" customHeight="1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2.75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2.75" customHeight="1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2.75" customHeight="1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2.75" customHeight="1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2.75" customHeight="1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2.75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2.75" customHeight="1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2.75" customHeight="1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2.75" customHeight="1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2.75" customHeight="1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2.75" customHeight="1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2.75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2.75" customHeight="1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2.75" customHeight="1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2.75" customHeight="1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2.75" customHeight="1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2.75" customHeight="1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2.75" customHeight="1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2.75" customHeight="1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2.75" customHeight="1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2.75" customHeight="1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2.75" customHeight="1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2.75" customHeight="1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2.75" customHeight="1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2.75" customHeight="1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2.75" customHeight="1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2.75" customHeight="1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2.75" customHeight="1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2.75" customHeight="1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2.75" customHeight="1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2.75" customHeight="1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2.75" customHeight="1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2.75" customHeight="1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2.75" customHeight="1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2.75" customHeight="1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2.75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2.75" customHeight="1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2.75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2.75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2.75" customHeight="1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2.75" customHeight="1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2.75" customHeight="1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2.75" customHeight="1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2.75" customHeight="1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2.75" customHeight="1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2.75" customHeight="1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2.75" customHeight="1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2.75" customHeight="1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2.75" customHeight="1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2.75" customHeight="1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2.75" customHeight="1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2.75" customHeight="1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2.75" customHeight="1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2.75" customHeight="1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2.75" customHeight="1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2.75" customHeight="1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2.75" customHeight="1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2.75" customHeight="1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2.75" customHeight="1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2.75" customHeight="1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2.75" customHeight="1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2.75" customHeight="1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2.75" customHeight="1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2.75" customHeight="1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2.75" customHeight="1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2.75" customHeight="1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2.75" customHeight="1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2.75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2.75" customHeight="1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2.7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2.75" customHeight="1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2.75" customHeight="1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2.75" customHeight="1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2.75" customHeight="1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2.75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2.75" customHeight="1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2.75" customHeight="1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2.75" customHeight="1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2.75" customHeight="1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2.75" customHeight="1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2.75" customHeight="1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2.75" customHeight="1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2.75" customHeight="1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2.75" customHeight="1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2.75" customHeight="1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2.75" customHeight="1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2.75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2.75" customHeight="1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2.75" customHeight="1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2.75" customHeight="1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2.75" customHeight="1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2.75" customHeight="1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2.75" customHeight="1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2.75" customHeight="1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2.75" customHeight="1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2.75" customHeight="1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2.75" customHeight="1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2.75" customHeight="1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2.75" customHeight="1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2.75" customHeight="1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2.75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2.75" customHeight="1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2.75" customHeight="1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2.75" customHeight="1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2.7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2.75" customHeight="1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2.75" customHeight="1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2.75" customHeight="1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2.75" customHeight="1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2.75" customHeight="1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2.75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2.75" customHeight="1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2.75" customHeight="1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2.75" customHeight="1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2.75" customHeight="1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2.75" customHeight="1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2.75" customHeight="1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2.75" customHeight="1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2.75" customHeight="1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2.75" customHeight="1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2.75" customHeight="1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2.75" customHeight="1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2.75" customHeight="1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2.75" customHeight="1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2.75" customHeight="1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2.75" customHeight="1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2.75" customHeight="1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2.75" customHeight="1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2.75" customHeight="1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2.75" customHeight="1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2.75" customHeight="1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2.75" customHeight="1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2.75" customHeight="1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2.75" customHeight="1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2.75" customHeight="1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2.75" customHeight="1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2.75" customHeight="1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2.75" customHeight="1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2.75" customHeight="1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2.75" customHeight="1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2.75" customHeight="1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2.75" customHeight="1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2.75" customHeight="1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2.75" customHeight="1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2.75" customHeight="1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2.75" customHeight="1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2.75" customHeight="1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2.75" customHeight="1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2.75" customHeight="1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2.75" customHeight="1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2.75" customHeight="1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2.75" customHeight="1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2.75" customHeight="1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2.75" customHeight="1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2.75" customHeight="1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2.75" customHeight="1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2.75" customHeight="1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2.75" customHeight="1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2.75" customHeight="1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2.75" customHeight="1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2.75" customHeight="1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2.75" customHeight="1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2.75" customHeight="1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2.75" customHeight="1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2.75" customHeight="1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2.75" customHeight="1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2.75" customHeight="1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2.75" customHeight="1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2.75" customHeight="1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2.75" customHeight="1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2.75" customHeight="1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2.75" customHeight="1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2.75" customHeight="1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2.75" customHeight="1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2.75" customHeight="1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2.75" customHeight="1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2.75" customHeight="1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2.75" customHeight="1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2.75" customHeight="1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2.75" customHeight="1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2.75" customHeight="1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2.75" customHeight="1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2.75" customHeight="1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2.75" customHeight="1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2.75" customHeight="1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2.75" customHeight="1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2.75" customHeight="1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2.75" customHeight="1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2.75" customHeight="1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2.75" customHeight="1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2.75" customHeight="1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2.75" customHeight="1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2.75" customHeight="1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2.75" customHeight="1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2.75" customHeight="1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2.75" customHeight="1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2.75" customHeight="1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2.75" customHeight="1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2.75" customHeight="1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2.75" customHeight="1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2.75" customHeight="1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2.75" customHeight="1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2.75" customHeight="1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2.75" customHeight="1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2.75" customHeight="1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2.75" customHeight="1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2.75" customHeight="1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2.75" customHeight="1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2.75" customHeight="1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2.75" customHeight="1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2.75" customHeight="1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2.75" customHeight="1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2.75" customHeight="1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2.75" customHeight="1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2.75" customHeight="1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2.75" customHeight="1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2.75" customHeight="1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2.75" customHeight="1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2.75" customHeight="1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2.75" customHeight="1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2.75" customHeight="1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2.75" customHeight="1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2.75" customHeight="1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2.75" customHeight="1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2.75" customHeight="1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2.75" customHeight="1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2.75" customHeight="1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2.75" customHeight="1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2.75" customHeight="1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2.75" customHeight="1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2.75" customHeight="1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2.75" customHeight="1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2.75" customHeight="1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2.75" customHeight="1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2.75" customHeight="1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2.75" customHeight="1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2.75" customHeight="1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2.75" customHeight="1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2.75" customHeight="1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2.75" customHeight="1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2.75" customHeight="1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2.75" customHeight="1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2.75" customHeight="1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2.75" customHeight="1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2.75" customHeight="1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2.75" customHeight="1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2.75" customHeight="1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2.75" customHeight="1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2.75" customHeight="1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2.75" customHeight="1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2.75" customHeight="1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2.75" customHeight="1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2.75" customHeight="1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2.75" customHeight="1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2.75" customHeight="1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2.75" customHeight="1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2.75" customHeight="1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2.75" customHeight="1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2.75" customHeight="1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2.75" customHeight="1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2.75" customHeight="1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2.75" customHeight="1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2.75" customHeight="1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2.75" customHeight="1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2.75" customHeight="1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2.75" customHeight="1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2.75" customHeight="1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2.75" customHeight="1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2.75" customHeight="1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2.75" customHeight="1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2.75" customHeight="1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2.75" customHeight="1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2.75" customHeight="1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2.75" customHeight="1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2.75" customHeight="1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2.75" customHeight="1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2.75" customHeight="1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2.75" customHeight="1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2.75" customHeight="1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2.75" customHeight="1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2.75" customHeight="1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2.75" customHeight="1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2.75" customHeight="1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2.75" customHeight="1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2.75" customHeight="1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2.75" customHeight="1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2.75" customHeight="1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2.75" customHeight="1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2.75" customHeight="1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2.75" customHeight="1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2.75" customHeight="1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2.75" customHeight="1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2.75" customHeight="1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2.75" customHeight="1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2.75" customHeight="1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2.75" customHeight="1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2.75" customHeight="1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2.75" customHeight="1" x14ac:dyDescent="0.25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2.75" customHeight="1" x14ac:dyDescent="0.25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2.75" customHeight="1" x14ac:dyDescent="0.25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2.75" customHeight="1" x14ac:dyDescent="0.2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2.75" customHeight="1" x14ac:dyDescent="0.25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2.75" customHeight="1" x14ac:dyDescent="0.25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2.75" customHeight="1" x14ac:dyDescent="0.25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2.75" customHeight="1" x14ac:dyDescent="0.25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2.75" customHeight="1" x14ac:dyDescent="0.25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2.75" customHeight="1" x14ac:dyDescent="0.25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2.75" customHeight="1" x14ac:dyDescent="0.25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2.75" customHeight="1" x14ac:dyDescent="0.25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2.75" customHeight="1" x14ac:dyDescent="0.25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2.75" customHeight="1" x14ac:dyDescent="0.2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2.75" customHeight="1" x14ac:dyDescent="0.25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2.75" customHeight="1" x14ac:dyDescent="0.25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2.75" customHeight="1" x14ac:dyDescent="0.25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2.75" customHeight="1" x14ac:dyDescent="0.25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2.75" customHeight="1" x14ac:dyDescent="0.25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2.75" customHeight="1" x14ac:dyDescent="0.25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2.75" customHeight="1" x14ac:dyDescent="0.25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2.75" customHeight="1" x14ac:dyDescent="0.25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2.75" customHeight="1" x14ac:dyDescent="0.25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2.75" customHeight="1" x14ac:dyDescent="0.2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2.75" customHeight="1" x14ac:dyDescent="0.25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2.75" customHeight="1" x14ac:dyDescent="0.25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2.75" customHeight="1" x14ac:dyDescent="0.25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2.75" customHeight="1" x14ac:dyDescent="0.25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2.75" customHeight="1" x14ac:dyDescent="0.25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2.75" customHeight="1" x14ac:dyDescent="0.25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2.75" customHeight="1" x14ac:dyDescent="0.25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2.75" customHeight="1" x14ac:dyDescent="0.25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2.75" customHeight="1" x14ac:dyDescent="0.25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2.75" customHeight="1" x14ac:dyDescent="0.2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2.75" customHeight="1" x14ac:dyDescent="0.25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2.75" customHeight="1" x14ac:dyDescent="0.25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2.75" customHeight="1" x14ac:dyDescent="0.25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2.75" customHeight="1" x14ac:dyDescent="0.25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2.75" customHeight="1" x14ac:dyDescent="0.25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2.75" customHeight="1" x14ac:dyDescent="0.25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2.75" customHeight="1" x14ac:dyDescent="0.25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2.75" customHeight="1" x14ac:dyDescent="0.25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2.75" customHeight="1" x14ac:dyDescent="0.25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2.75" customHeight="1" x14ac:dyDescent="0.2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2.75" customHeight="1" x14ac:dyDescent="0.25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2.75" customHeight="1" x14ac:dyDescent="0.25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2.75" customHeight="1" x14ac:dyDescent="0.25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2.75" customHeight="1" x14ac:dyDescent="0.25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2.75" customHeight="1" x14ac:dyDescent="0.25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2.75" customHeight="1" x14ac:dyDescent="0.25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2.75" customHeight="1" x14ac:dyDescent="0.25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2.75" customHeight="1" x14ac:dyDescent="0.25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2.75" customHeight="1" x14ac:dyDescent="0.25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2.75" customHeight="1" x14ac:dyDescent="0.2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2.75" customHeight="1" x14ac:dyDescent="0.25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2.75" customHeight="1" x14ac:dyDescent="0.25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2.75" customHeight="1" x14ac:dyDescent="0.25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2.75" customHeight="1" x14ac:dyDescent="0.25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2.75" customHeight="1" x14ac:dyDescent="0.25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2.75" customHeight="1" x14ac:dyDescent="0.25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2.75" customHeight="1" x14ac:dyDescent="0.25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2.75" customHeight="1" x14ac:dyDescent="0.25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2.75" customHeight="1" x14ac:dyDescent="0.25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2.75" customHeight="1" x14ac:dyDescent="0.2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2.75" customHeight="1" x14ac:dyDescent="0.25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2.75" customHeight="1" x14ac:dyDescent="0.25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2.75" customHeight="1" x14ac:dyDescent="0.25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2.75" customHeight="1" x14ac:dyDescent="0.25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2.75" customHeight="1" x14ac:dyDescent="0.25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2.75" customHeight="1" x14ac:dyDescent="0.25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2.75" customHeight="1" x14ac:dyDescent="0.25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2.75" customHeight="1" x14ac:dyDescent="0.25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2.75" customHeight="1" x14ac:dyDescent="0.25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2.75" customHeight="1" x14ac:dyDescent="0.2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2.75" customHeight="1" x14ac:dyDescent="0.25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2.75" customHeight="1" x14ac:dyDescent="0.25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2.75" customHeight="1" x14ac:dyDescent="0.25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2.75" customHeight="1" x14ac:dyDescent="0.25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2.75" customHeight="1" x14ac:dyDescent="0.25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2.75" customHeight="1" x14ac:dyDescent="0.25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2.75" customHeight="1" x14ac:dyDescent="0.25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2.75" customHeight="1" x14ac:dyDescent="0.25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2.75" customHeight="1" x14ac:dyDescent="0.25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2.75" customHeight="1" x14ac:dyDescent="0.2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2.75" customHeight="1" x14ac:dyDescent="0.25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2.75" customHeight="1" x14ac:dyDescent="0.25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2.75" customHeight="1" x14ac:dyDescent="0.25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2.75" customHeight="1" x14ac:dyDescent="0.25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2.75" customHeight="1" x14ac:dyDescent="0.25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2.75" customHeight="1" x14ac:dyDescent="0.25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2.75" customHeight="1" x14ac:dyDescent="0.25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2.75" customHeight="1" x14ac:dyDescent="0.25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2.75" customHeight="1" x14ac:dyDescent="0.25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2.75" customHeight="1" x14ac:dyDescent="0.2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2.75" customHeight="1" x14ac:dyDescent="0.25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2.75" customHeight="1" x14ac:dyDescent="0.25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2.75" customHeight="1" x14ac:dyDescent="0.25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2.75" customHeight="1" x14ac:dyDescent="0.25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2.75" customHeight="1" x14ac:dyDescent="0.25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2.75" customHeight="1" x14ac:dyDescent="0.25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2.75" customHeight="1" x14ac:dyDescent="0.25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2.75" customHeight="1" x14ac:dyDescent="0.25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2.75" customHeight="1" x14ac:dyDescent="0.25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2.75" customHeight="1" x14ac:dyDescent="0.2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2.75" customHeight="1" x14ac:dyDescent="0.25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2.75" customHeight="1" x14ac:dyDescent="0.25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2.75" customHeight="1" x14ac:dyDescent="0.25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2.75" customHeight="1" x14ac:dyDescent="0.25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2.75" customHeight="1" x14ac:dyDescent="0.25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2.75" customHeight="1" x14ac:dyDescent="0.25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2.75" customHeight="1" x14ac:dyDescent="0.25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2.75" customHeight="1" x14ac:dyDescent="0.25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2.75" customHeight="1" x14ac:dyDescent="0.25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2.75" customHeight="1" x14ac:dyDescent="0.2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2.75" customHeight="1" x14ac:dyDescent="0.25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2.75" customHeight="1" x14ac:dyDescent="0.25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2.75" customHeight="1" x14ac:dyDescent="0.25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2.75" customHeight="1" x14ac:dyDescent="0.25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2.75" customHeight="1" x14ac:dyDescent="0.25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2.75" customHeight="1" x14ac:dyDescent="0.25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2.75" customHeight="1" x14ac:dyDescent="0.25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2.75" customHeight="1" x14ac:dyDescent="0.25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2.75" customHeight="1" x14ac:dyDescent="0.25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2.75" customHeight="1" x14ac:dyDescent="0.2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2.75" customHeight="1" x14ac:dyDescent="0.25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2.75" customHeight="1" x14ac:dyDescent="0.25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2.75" customHeight="1" x14ac:dyDescent="0.25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2.75" customHeight="1" x14ac:dyDescent="0.25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2.75" customHeight="1" x14ac:dyDescent="0.25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2.75" customHeight="1" x14ac:dyDescent="0.25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2.75" customHeight="1" x14ac:dyDescent="0.25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2.75" customHeight="1" x14ac:dyDescent="0.25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2.75" customHeight="1" x14ac:dyDescent="0.25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2.75" customHeight="1" x14ac:dyDescent="0.2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2.75" customHeight="1" x14ac:dyDescent="0.25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2.75" customHeight="1" x14ac:dyDescent="0.25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2.75" customHeight="1" x14ac:dyDescent="0.25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2.75" customHeight="1" x14ac:dyDescent="0.25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2.75" customHeight="1" x14ac:dyDescent="0.25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2.75" customHeight="1" x14ac:dyDescent="0.25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2.75" customHeight="1" x14ac:dyDescent="0.25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2.75" customHeight="1" x14ac:dyDescent="0.25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2.75" customHeight="1" x14ac:dyDescent="0.25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2.75" customHeight="1" x14ac:dyDescent="0.2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2.75" customHeight="1" x14ac:dyDescent="0.25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2.75" customHeight="1" x14ac:dyDescent="0.25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2.75" customHeight="1" x14ac:dyDescent="0.25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2.75" customHeight="1" x14ac:dyDescent="0.25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2.75" customHeight="1" x14ac:dyDescent="0.25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2.75" customHeight="1" x14ac:dyDescent="0.25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2.75" customHeight="1" x14ac:dyDescent="0.25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2.75" customHeight="1" x14ac:dyDescent="0.25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2.75" customHeight="1" x14ac:dyDescent="0.25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2.75" customHeight="1" x14ac:dyDescent="0.2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2.75" customHeight="1" x14ac:dyDescent="0.25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2.75" customHeight="1" x14ac:dyDescent="0.25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2.75" customHeight="1" x14ac:dyDescent="0.25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2.75" customHeight="1" x14ac:dyDescent="0.25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2.75" customHeight="1" x14ac:dyDescent="0.25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2.75" customHeight="1" x14ac:dyDescent="0.25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2.75" customHeight="1" x14ac:dyDescent="0.25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2.75" customHeight="1" x14ac:dyDescent="0.25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2.75" customHeight="1" x14ac:dyDescent="0.25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2.75" customHeight="1" x14ac:dyDescent="0.2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2.75" customHeight="1" x14ac:dyDescent="0.25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2.75" customHeight="1" x14ac:dyDescent="0.25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2.75" customHeight="1" x14ac:dyDescent="0.25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2.75" customHeight="1" x14ac:dyDescent="0.25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2.75" customHeight="1" x14ac:dyDescent="0.25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2.75" customHeight="1" x14ac:dyDescent="0.25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2.75" customHeight="1" x14ac:dyDescent="0.25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2.75" customHeight="1" x14ac:dyDescent="0.25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2.75" customHeight="1" x14ac:dyDescent="0.25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2.75" customHeight="1" x14ac:dyDescent="0.2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2.75" customHeight="1" x14ac:dyDescent="0.25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2.75" customHeight="1" x14ac:dyDescent="0.25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2.75" customHeight="1" x14ac:dyDescent="0.25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2.75" customHeight="1" x14ac:dyDescent="0.25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2.75" customHeight="1" x14ac:dyDescent="0.25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2.75" customHeight="1" x14ac:dyDescent="0.25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2.75" customHeight="1" x14ac:dyDescent="0.25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2.75" customHeight="1" x14ac:dyDescent="0.25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2.75" customHeight="1" x14ac:dyDescent="0.25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2.75" customHeight="1" x14ac:dyDescent="0.2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2.75" customHeight="1" x14ac:dyDescent="0.25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2.75" customHeight="1" x14ac:dyDescent="0.25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2.75" customHeight="1" x14ac:dyDescent="0.25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2.75" customHeight="1" x14ac:dyDescent="0.25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2.75" customHeight="1" x14ac:dyDescent="0.25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2.75" customHeight="1" x14ac:dyDescent="0.25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2.75" customHeight="1" x14ac:dyDescent="0.25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2.75" customHeight="1" x14ac:dyDescent="0.25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2.75" customHeight="1" x14ac:dyDescent="0.25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2.75" customHeight="1" x14ac:dyDescent="0.2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2.75" customHeight="1" x14ac:dyDescent="0.25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2.75" customHeight="1" x14ac:dyDescent="0.25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2.75" customHeight="1" x14ac:dyDescent="0.25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2.75" customHeight="1" x14ac:dyDescent="0.25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2.75" customHeight="1" x14ac:dyDescent="0.25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2.75" customHeight="1" x14ac:dyDescent="0.25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2.75" customHeight="1" x14ac:dyDescent="0.25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2.75" customHeight="1" x14ac:dyDescent="0.25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2.75" customHeight="1" x14ac:dyDescent="0.25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2.75" customHeight="1" x14ac:dyDescent="0.2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2.75" customHeight="1" x14ac:dyDescent="0.25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2.75" customHeight="1" x14ac:dyDescent="0.25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2.75" customHeight="1" x14ac:dyDescent="0.25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2.75" customHeight="1" x14ac:dyDescent="0.25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2.75" customHeight="1" x14ac:dyDescent="0.25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2.75" customHeight="1" x14ac:dyDescent="0.25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2.75" customHeight="1" x14ac:dyDescent="0.25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2.75" customHeight="1" x14ac:dyDescent="0.25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2.75" customHeight="1" x14ac:dyDescent="0.25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2.75" customHeight="1" x14ac:dyDescent="0.2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2.75" customHeight="1" x14ac:dyDescent="0.25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2.75" customHeight="1" x14ac:dyDescent="0.25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2.75" customHeight="1" x14ac:dyDescent="0.25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2.75" customHeight="1" x14ac:dyDescent="0.25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2.75" customHeight="1" x14ac:dyDescent="0.25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2.75" customHeight="1" x14ac:dyDescent="0.25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2.75" customHeight="1" x14ac:dyDescent="0.25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2.75" customHeight="1" x14ac:dyDescent="0.25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2.75" customHeight="1" x14ac:dyDescent="0.25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2.75" customHeight="1" x14ac:dyDescent="0.2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2.75" customHeight="1" x14ac:dyDescent="0.25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2.75" customHeight="1" x14ac:dyDescent="0.25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2.75" customHeight="1" x14ac:dyDescent="0.25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2.75" customHeight="1" x14ac:dyDescent="0.25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2.75" customHeight="1" x14ac:dyDescent="0.25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2.75" customHeight="1" x14ac:dyDescent="0.25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2.75" customHeight="1" x14ac:dyDescent="0.25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2.75" customHeight="1" x14ac:dyDescent="0.25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2.75" customHeight="1" x14ac:dyDescent="0.25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2.75" customHeight="1" x14ac:dyDescent="0.2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2.75" customHeight="1" x14ac:dyDescent="0.25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2.75" customHeight="1" x14ac:dyDescent="0.25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2.75" customHeight="1" x14ac:dyDescent="0.25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2.75" customHeight="1" x14ac:dyDescent="0.25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2.75" customHeight="1" x14ac:dyDescent="0.25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2.75" customHeight="1" x14ac:dyDescent="0.25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2.75" customHeight="1" x14ac:dyDescent="0.25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2.75" customHeight="1" x14ac:dyDescent="0.25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2.75" customHeight="1" x14ac:dyDescent="0.25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2.75" customHeight="1" x14ac:dyDescent="0.2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2.75" customHeight="1" x14ac:dyDescent="0.25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2.75" customHeight="1" x14ac:dyDescent="0.25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2.75" customHeight="1" x14ac:dyDescent="0.25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2.75" customHeight="1" x14ac:dyDescent="0.25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2.75" customHeight="1" x14ac:dyDescent="0.25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2.75" customHeight="1" x14ac:dyDescent="0.25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2.75" customHeight="1" x14ac:dyDescent="0.25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2.75" customHeight="1" x14ac:dyDescent="0.25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2.75" customHeight="1" x14ac:dyDescent="0.25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2.75" customHeight="1" x14ac:dyDescent="0.2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2.75" customHeight="1" x14ac:dyDescent="0.25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2.75" customHeight="1" x14ac:dyDescent="0.25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2.75" customHeight="1" x14ac:dyDescent="0.25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2.75" customHeight="1" x14ac:dyDescent="0.25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2.75" customHeight="1" x14ac:dyDescent="0.25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2.75" customHeight="1" x14ac:dyDescent="0.25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2.75" customHeight="1" x14ac:dyDescent="0.25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2.75" customHeight="1" x14ac:dyDescent="0.25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2.75" customHeight="1" x14ac:dyDescent="0.25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2.75" customHeight="1" x14ac:dyDescent="0.2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2.75" customHeight="1" x14ac:dyDescent="0.25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2.75" customHeight="1" x14ac:dyDescent="0.25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2.75" customHeight="1" x14ac:dyDescent="0.25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2.75" customHeight="1" x14ac:dyDescent="0.25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2.75" customHeight="1" x14ac:dyDescent="0.25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2.75" customHeight="1" x14ac:dyDescent="0.25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2.75" customHeight="1" x14ac:dyDescent="0.25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2.75" customHeight="1" x14ac:dyDescent="0.25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2.75" customHeight="1" x14ac:dyDescent="0.25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2.75" customHeight="1" x14ac:dyDescent="0.2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2.75" customHeight="1" x14ac:dyDescent="0.25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2.75" customHeight="1" x14ac:dyDescent="0.25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2.75" customHeight="1" x14ac:dyDescent="0.25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2.75" customHeight="1" x14ac:dyDescent="0.25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2.75" customHeight="1" x14ac:dyDescent="0.25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2.75" customHeight="1" x14ac:dyDescent="0.25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2.75" customHeight="1" x14ac:dyDescent="0.25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2.75" customHeight="1" x14ac:dyDescent="0.25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2.75" customHeight="1" x14ac:dyDescent="0.25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2.75" customHeight="1" x14ac:dyDescent="0.2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2.75" customHeight="1" x14ac:dyDescent="0.25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2.75" customHeight="1" x14ac:dyDescent="0.25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2.75" customHeight="1" x14ac:dyDescent="0.25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2.75" customHeight="1" x14ac:dyDescent="0.25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2.75" customHeight="1" x14ac:dyDescent="0.25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2.75" customHeight="1" x14ac:dyDescent="0.25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2.75" customHeight="1" x14ac:dyDescent="0.25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2.75" customHeight="1" x14ac:dyDescent="0.25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2.75" customHeight="1" x14ac:dyDescent="0.25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</sheetData>
  <mergeCells count="16">
    <mergeCell ref="H29:H30"/>
    <mergeCell ref="A2:H2"/>
    <mergeCell ref="A3:H3"/>
    <mergeCell ref="A4:H4"/>
    <mergeCell ref="A5:H5"/>
    <mergeCell ref="A6:C6"/>
    <mergeCell ref="A7:A9"/>
    <mergeCell ref="B7:B9"/>
    <mergeCell ref="C7:C9"/>
    <mergeCell ref="D7:D9"/>
    <mergeCell ref="E7:E9"/>
    <mergeCell ref="F7:F9"/>
    <mergeCell ref="G7:G9"/>
    <mergeCell ref="H7:H9"/>
    <mergeCell ref="H12:H16"/>
    <mergeCell ref="H20:H25"/>
  </mergeCells>
  <pageMargins left="0.31496062992125984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2023-06-23</vt:lpstr>
      <vt:lpstr>Paaišk 2023-06-23</vt:lpstr>
      <vt:lpstr>'2023-06-23'!Print_Area</vt:lpstr>
      <vt:lpstr>'Paaišk 2023-06-23'!Print_Area</vt:lpstr>
      <vt:lpstr>'2023-06-23'!Print_Titles</vt:lpstr>
      <vt:lpstr>'Paaišk 2023-06-23'!Print_Titles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Sakaviciene</dc:creator>
  <cp:lastModifiedBy>IT.MDVB</cp:lastModifiedBy>
  <cp:lastPrinted>2023-06-09T11:18:44Z</cp:lastPrinted>
  <dcterms:created xsi:type="dcterms:W3CDTF">2006-12-08T13:31:51Z</dcterms:created>
  <dcterms:modified xsi:type="dcterms:W3CDTF">2023-06-12T18:48:43Z</dcterms:modified>
</cp:coreProperties>
</file>