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totoja\Documents\seni dokumentai\2023 m sprendimai\2023-06-23 Tarybos posėdiis\Biudžetas\"/>
    </mc:Choice>
  </mc:AlternateContent>
  <xr:revisionPtr revIDLastSave="0" documentId="13_ncr:1_{1E9E7518-BFD1-42FE-83BC-283B0FC6F5FA}" xr6:coauthVersionLast="47" xr6:coauthVersionMax="47" xr10:uidLastSave="{00000000-0000-0000-0000-000000000000}"/>
  <bookViews>
    <workbookView xWindow="-120" yWindow="-120" windowWidth="29040" windowHeight="15840" tabRatio="897" activeTab="4" xr2:uid="{00000000-000D-0000-FFFF-FFFF00000000}"/>
  </bookViews>
  <sheets>
    <sheet name="1 pr" sheetId="75" r:id="rId1"/>
    <sheet name="3 pr" sheetId="76" r:id="rId2"/>
    <sheet name="7 pr" sheetId="77" r:id="rId3"/>
    <sheet name="8 pr" sheetId="78" r:id="rId4"/>
    <sheet name="10 pr" sheetId="79" r:id="rId5"/>
  </sheets>
  <definedNames>
    <definedName name="_xlnm.Print_Area" localSheetId="0">'1 pr'!$A$1:$C$114</definedName>
    <definedName name="_xlnm.Print_Area" localSheetId="4">'10 pr'!$A$1:$F$117</definedName>
    <definedName name="_xlnm.Print_Area" localSheetId="1">'3 pr'!$A$1:$F$306</definedName>
    <definedName name="_xlnm.Print_Area" localSheetId="2">'7 pr'!$A$1:$F$40</definedName>
    <definedName name="_xlnm.Print_Area" localSheetId="3">'8 pr'!$A$1:$F$104</definedName>
    <definedName name="_xlnm.Print_Titles" localSheetId="0">'1 pr'!$7:$7</definedName>
    <definedName name="_xlnm.Print_Titles" localSheetId="4">'10 pr'!$9:$9</definedName>
    <definedName name="_xlnm.Print_Titles" localSheetId="1">'3 pr'!$9:$9</definedName>
    <definedName name="_xlnm.Print_Titles" localSheetId="2">'7 pr'!$9:$9</definedName>
    <definedName name="_xlnm.Print_Titles" localSheetId="3">'8 pr'!$9:$9</definedName>
  </definedNames>
  <calcPr calcId="181029"/>
  <fileRecoveryPr autoRecover="0"/>
</workbook>
</file>

<file path=xl/calcChain.xml><?xml version="1.0" encoding="utf-8"?>
<calcChain xmlns="http://schemas.openxmlformats.org/spreadsheetml/2006/main">
  <c r="C20" i="75" l="1"/>
  <c r="C96" i="75"/>
  <c r="C109" i="75"/>
  <c r="E137" i="76"/>
  <c r="E59" i="76"/>
  <c r="E47" i="76" l="1"/>
  <c r="E182" i="76"/>
  <c r="E151" i="76"/>
  <c r="E206" i="76"/>
  <c r="F182" i="76"/>
  <c r="F151" i="76"/>
  <c r="F47" i="76"/>
  <c r="C19" i="75"/>
  <c r="E27" i="77"/>
  <c r="F95" i="76" l="1"/>
  <c r="E95" i="76"/>
  <c r="F94" i="76"/>
  <c r="E94" i="76"/>
  <c r="F93" i="76"/>
  <c r="E93" i="76"/>
  <c r="F92" i="76"/>
  <c r="E92" i="76"/>
  <c r="F89" i="76"/>
  <c r="E89" i="76"/>
  <c r="E223" i="76"/>
  <c r="E222" i="76"/>
  <c r="F81" i="79"/>
  <c r="E81" i="79"/>
  <c r="F79" i="79"/>
  <c r="E79" i="79"/>
  <c r="F77" i="79"/>
  <c r="E77" i="79"/>
  <c r="E50" i="76"/>
  <c r="F109" i="79"/>
  <c r="E109" i="79"/>
  <c r="F111" i="79"/>
  <c r="E111" i="79"/>
  <c r="E90" i="76"/>
  <c r="F71" i="79"/>
  <c r="E71" i="79"/>
  <c r="F27" i="78"/>
  <c r="E108" i="79" l="1"/>
  <c r="F108" i="79"/>
  <c r="F44" i="79"/>
  <c r="F43" i="79"/>
  <c r="F42" i="79"/>
  <c r="F41" i="79"/>
  <c r="F40" i="79"/>
  <c r="F39" i="79"/>
  <c r="C29" i="75"/>
  <c r="E44" i="78"/>
  <c r="F89" i="79"/>
  <c r="E89" i="79"/>
  <c r="C54" i="75"/>
  <c r="F53" i="79"/>
  <c r="E53" i="79"/>
  <c r="F69" i="79"/>
  <c r="E69" i="79"/>
  <c r="E102" i="79"/>
  <c r="E101" i="79" s="1"/>
  <c r="E33" i="77"/>
  <c r="E99" i="79"/>
  <c r="E93" i="79"/>
  <c r="E97" i="79"/>
  <c r="E38" i="79"/>
  <c r="F13" i="79"/>
  <c r="E13" i="79"/>
  <c r="E12" i="79"/>
  <c r="F38" i="79" l="1"/>
  <c r="F114" i="79"/>
  <c r="F113" i="79" s="1"/>
  <c r="E114" i="79"/>
  <c r="E113" i="79" s="1"/>
  <c r="E57" i="79"/>
  <c r="C56" i="75"/>
  <c r="C57" i="75"/>
  <c r="F59" i="79"/>
  <c r="E59" i="79"/>
  <c r="F106" i="79"/>
  <c r="E106" i="79"/>
  <c r="C64" i="75"/>
  <c r="E34" i="79"/>
  <c r="F21" i="79"/>
  <c r="E21" i="79"/>
  <c r="F23" i="79"/>
  <c r="E23" i="79"/>
  <c r="F37" i="79"/>
  <c r="E37" i="79"/>
  <c r="E36" i="79"/>
  <c r="F26" i="79"/>
  <c r="E26" i="79"/>
  <c r="F25" i="79"/>
  <c r="E25" i="79"/>
  <c r="F22" i="79"/>
  <c r="E22" i="79"/>
  <c r="F24" i="79"/>
  <c r="E24" i="79"/>
  <c r="F34" i="79"/>
  <c r="F28" i="79"/>
  <c r="E28" i="79"/>
  <c r="F35" i="79"/>
  <c r="E35" i="79"/>
  <c r="F31" i="79"/>
  <c r="E31" i="79"/>
  <c r="E30" i="79"/>
  <c r="F32" i="79"/>
  <c r="E32" i="79"/>
  <c r="F33" i="79"/>
  <c r="E33" i="79"/>
  <c r="F27" i="79"/>
  <c r="E27" i="79"/>
  <c r="E29" i="79"/>
  <c r="C66" i="75"/>
  <c r="C49" i="75" l="1"/>
  <c r="F104" i="79"/>
  <c r="F103" i="79" s="1"/>
  <c r="E104" i="79"/>
  <c r="E103" i="79" s="1"/>
  <c r="F95" i="79"/>
  <c r="F94" i="79" s="1"/>
  <c r="E95" i="79"/>
  <c r="E94" i="79" s="1"/>
  <c r="F92" i="79"/>
  <c r="F91" i="79" s="1"/>
  <c r="E92" i="79"/>
  <c r="E91" i="79" s="1"/>
  <c r="F87" i="79"/>
  <c r="F86" i="79" s="1"/>
  <c r="E87" i="79"/>
  <c r="E86" i="79" s="1"/>
  <c r="F84" i="79"/>
  <c r="F83" i="79" s="1"/>
  <c r="E84" i="79"/>
  <c r="E83" i="79" s="1"/>
  <c r="F64" i="79"/>
  <c r="E64" i="79"/>
  <c r="F62" i="79"/>
  <c r="E62" i="79"/>
  <c r="F60" i="79"/>
  <c r="E60" i="79"/>
  <c r="F58" i="79"/>
  <c r="E58" i="79"/>
  <c r="F56" i="79"/>
  <c r="E56" i="79"/>
  <c r="F54" i="79"/>
  <c r="E54" i="79"/>
  <c r="F52" i="79"/>
  <c r="E52" i="79"/>
  <c r="F50" i="79"/>
  <c r="E50" i="79"/>
  <c r="F48" i="79"/>
  <c r="E48" i="79"/>
  <c r="F46" i="79"/>
  <c r="F45" i="79" s="1"/>
  <c r="E46" i="79"/>
  <c r="E45" i="79" s="1"/>
  <c r="F20" i="79"/>
  <c r="E20" i="79"/>
  <c r="F18" i="79"/>
  <c r="F17" i="79" s="1"/>
  <c r="E18" i="79"/>
  <c r="E17" i="79" s="1"/>
  <c r="F15" i="79"/>
  <c r="F14" i="79" s="1"/>
  <c r="E15" i="79"/>
  <c r="E14" i="79" s="1"/>
  <c r="F11" i="79"/>
  <c r="E11" i="79"/>
  <c r="C102" i="75"/>
  <c r="C100" i="75"/>
  <c r="C92" i="75"/>
  <c r="C88" i="75"/>
  <c r="C83" i="75"/>
  <c r="C63" i="75"/>
  <c r="C47" i="75"/>
  <c r="C46" i="75"/>
  <c r="C22" i="75"/>
  <c r="C15" i="75"/>
  <c r="C11" i="75"/>
  <c r="E10" i="79" l="1"/>
  <c r="F10" i="79"/>
  <c r="C8" i="75"/>
  <c r="C82" i="75"/>
  <c r="C21" i="75"/>
  <c r="C18" i="75"/>
  <c r="F116" i="79" l="1"/>
  <c r="E116" i="79"/>
  <c r="E287" i="76" l="1"/>
  <c r="E103" i="76"/>
  <c r="E147" i="76"/>
  <c r="E143" i="76"/>
  <c r="E244" i="76"/>
  <c r="E38" i="76" l="1"/>
  <c r="E42" i="76"/>
  <c r="E10" i="76" s="1"/>
  <c r="E303" i="76" s="1"/>
  <c r="F58" i="78" l="1"/>
  <c r="E58" i="78"/>
  <c r="E71" i="78"/>
  <c r="F74" i="78"/>
  <c r="E20" i="77" l="1"/>
  <c r="E24" i="77" l="1"/>
  <c r="E23" i="77" s="1"/>
  <c r="F20" i="77"/>
  <c r="F19" i="77" s="1"/>
  <c r="E19" i="77"/>
  <c r="E112" i="76" l="1"/>
  <c r="E96" i="76" s="1"/>
  <c r="E41" i="76" l="1"/>
  <c r="F22" i="78"/>
  <c r="F131" i="76"/>
  <c r="E131" i="76"/>
  <c r="E245" i="76"/>
  <c r="F127" i="76" l="1"/>
  <c r="E127" i="76"/>
  <c r="F126" i="76"/>
  <c r="E126" i="76"/>
  <c r="E24" i="76" l="1"/>
  <c r="E188" i="76" l="1"/>
  <c r="F135" i="76" l="1"/>
  <c r="E135" i="76"/>
  <c r="F133" i="76" l="1"/>
  <c r="E133" i="76"/>
  <c r="F129" i="76"/>
  <c r="E129" i="76"/>
  <c r="F124" i="76"/>
  <c r="E124" i="76"/>
  <c r="F122" i="76"/>
  <c r="E122" i="76"/>
  <c r="F119" i="76"/>
  <c r="E119" i="76"/>
  <c r="F117" i="76"/>
  <c r="E117" i="76"/>
  <c r="F45" i="78"/>
  <c r="E45" i="78"/>
  <c r="E140" i="76" l="1"/>
  <c r="F282" i="76"/>
  <c r="E282" i="76"/>
  <c r="F85" i="76"/>
  <c r="E85" i="76"/>
  <c r="E65" i="76" s="1"/>
  <c r="F11" i="77"/>
  <c r="F27" i="77"/>
  <c r="F26" i="77" s="1"/>
  <c r="E88" i="76" l="1"/>
  <c r="F65" i="76"/>
  <c r="E173" i="76"/>
  <c r="E63" i="76" l="1"/>
  <c r="E35" i="76"/>
  <c r="F36" i="77" l="1"/>
  <c r="F35" i="77" s="1"/>
  <c r="E36" i="77"/>
  <c r="E35" i="77" s="1"/>
  <c r="E268" i="76" l="1"/>
  <c r="E141" i="76"/>
  <c r="E139" i="76" s="1"/>
  <c r="E11" i="77" l="1"/>
  <c r="E18" i="78" l="1"/>
  <c r="E28" i="78"/>
  <c r="E41" i="78"/>
  <c r="F41" i="78"/>
  <c r="F11" i="78"/>
  <c r="F10" i="77"/>
  <c r="E205" i="76"/>
  <c r="E203" i="76" s="1"/>
  <c r="F97" i="78"/>
  <c r="E97" i="78"/>
  <c r="F95" i="78"/>
  <c r="E95" i="78"/>
  <c r="F93" i="78"/>
  <c r="E93" i="78"/>
  <c r="F91" i="78"/>
  <c r="E91" i="78"/>
  <c r="E89" i="78"/>
  <c r="F89" i="78"/>
  <c r="F87" i="78"/>
  <c r="E87" i="78"/>
  <c r="F85" i="78"/>
  <c r="E85" i="78"/>
  <c r="F83" i="78"/>
  <c r="E83" i="78"/>
  <c r="F81" i="78"/>
  <c r="E81" i="78"/>
  <c r="F79" i="78"/>
  <c r="E79" i="78"/>
  <c r="F77" i="78"/>
  <c r="E77" i="78"/>
  <c r="F75" i="78"/>
  <c r="E75" i="78"/>
  <c r="F99" i="78"/>
  <c r="E99" i="78"/>
  <c r="E74" i="78" s="1"/>
  <c r="F71" i="78"/>
  <c r="F59" i="78"/>
  <c r="E59" i="78"/>
  <c r="F43" i="78"/>
  <c r="E43" i="78"/>
  <c r="F28" i="78"/>
  <c r="F26" i="78"/>
  <c r="E26" i="78"/>
  <c r="F24" i="78"/>
  <c r="E24" i="78"/>
  <c r="F18" i="78"/>
  <c r="F15" i="78"/>
  <c r="E15" i="78"/>
  <c r="F13" i="78"/>
  <c r="E13" i="78"/>
  <c r="E11" i="78"/>
  <c r="E196" i="76"/>
  <c r="E191" i="76" s="1"/>
  <c r="E187" i="76" s="1"/>
  <c r="F42" i="76"/>
  <c r="F32" i="77"/>
  <c r="F31" i="77" s="1"/>
  <c r="E32" i="77"/>
  <c r="E31" i="77" s="1"/>
  <c r="F17" i="77"/>
  <c r="F16" i="77" s="1"/>
  <c r="E17" i="77"/>
  <c r="E16" i="77" s="1"/>
  <c r="E10" i="77"/>
  <c r="F275" i="76"/>
  <c r="F274" i="76" s="1"/>
  <c r="E275" i="76"/>
  <c r="E274" i="76" s="1"/>
  <c r="F268" i="76"/>
  <c r="F266" i="76" s="1"/>
  <c r="F265" i="76" s="1"/>
  <c r="F250" i="76"/>
  <c r="F242" i="76" s="1"/>
  <c r="F241" i="76" s="1"/>
  <c r="F206" i="76"/>
  <c r="F205" i="76" s="1"/>
  <c r="F203" i="76" s="1"/>
  <c r="F196" i="76"/>
  <c r="F191" i="76" s="1"/>
  <c r="F187" i="76" s="1"/>
  <c r="F175" i="76"/>
  <c r="F165" i="76" s="1"/>
  <c r="F141" i="76"/>
  <c r="F112" i="76"/>
  <c r="F96" i="76" s="1"/>
  <c r="F62" i="76"/>
  <c r="E175" i="76"/>
  <c r="E165" i="76" s="1"/>
  <c r="E250" i="76"/>
  <c r="E242" i="76" s="1"/>
  <c r="E266" i="76"/>
  <c r="E265" i="76" s="1"/>
  <c r="F38" i="77" l="1"/>
  <c r="F10" i="76"/>
  <c r="F17" i="78"/>
  <c r="E17" i="78"/>
  <c r="E241" i="76"/>
  <c r="F88" i="76"/>
  <c r="F139" i="76"/>
  <c r="F137" i="76" s="1"/>
  <c r="F10" i="78"/>
  <c r="E10" i="78"/>
  <c r="E26" i="77"/>
  <c r="E38" i="77" s="1"/>
  <c r="E279" i="76"/>
  <c r="F279" i="76"/>
  <c r="E62" i="76"/>
  <c r="F303" i="76" l="1"/>
  <c r="E101" i="78"/>
  <c r="F101" i="78"/>
  <c r="C17" i="75"/>
  <c r="C99" i="75" s="1"/>
  <c r="C101" i="75" s="1"/>
  <c r="C112" i="75" s="1"/>
</calcChain>
</file>

<file path=xl/sharedStrings.xml><?xml version="1.0" encoding="utf-8"?>
<sst xmlns="http://schemas.openxmlformats.org/spreadsheetml/2006/main" count="1349" uniqueCount="795">
  <si>
    <t>Eil. Nr.</t>
  </si>
  <si>
    <t>Kėdainių bendruomenės socialinis centras</t>
  </si>
  <si>
    <t>Dotnuvos slaugos namai</t>
  </si>
  <si>
    <t xml:space="preserve">Kėdainių rajono savivaldybės administracija </t>
  </si>
  <si>
    <t>Kėdainių rajono savivaldybės administracijos Dotnuvos seniūnija</t>
  </si>
  <si>
    <t>Kėdainių rajono savivaldybės administracijos Gudžiūnų seniūnija</t>
  </si>
  <si>
    <t>Kėdainių rajono savivaldybės administracijos Krakių seniūnija</t>
  </si>
  <si>
    <t>Kėdainių rajono savivaldybės administracijos Josvainių seniūnija</t>
  </si>
  <si>
    <t>Kėdainių rajono savivaldybės administracijos Kėdainių miesto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</si>
  <si>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</si>
  <si>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</si>
  <si>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Šėtos seniūnija</t>
  </si>
  <si>
    <t>Kėdainių rajono savivaldybės administracijos Surviliškio seniūnija</t>
  </si>
  <si>
    <t>Kėdainių rajono savivaldybės administracijos Truskavos seniūnija</t>
  </si>
  <si>
    <t>Kėdainių rajono savivaldybės administracijos Vilainių seniūnija</t>
  </si>
  <si>
    <t>Josvainių socialinis ir ugdymo centras</t>
  </si>
  <si>
    <t>Asignavimų valdytojas</t>
  </si>
  <si>
    <t>Iš viso</t>
  </si>
  <si>
    <t>2</t>
  </si>
  <si>
    <t>Šėtos socialinis ir ugdymo  centras</t>
  </si>
  <si>
    <t>Iš viso asignavimų</t>
  </si>
  <si>
    <t>03</t>
  </si>
  <si>
    <t>SOCIALINĖS APSAUGOS PLĖTOJIMAS</t>
  </si>
  <si>
    <t>10.04.01.01</t>
  </si>
  <si>
    <t>10.01.02.02</t>
  </si>
  <si>
    <t>11</t>
  </si>
  <si>
    <t>SAVIVALDYBĖS VALDYMO TOBULINIMAS</t>
  </si>
  <si>
    <t>Kėdainių rajono savivaldybės priešgaisrinė tarnyba</t>
  </si>
  <si>
    <t>03.02.01.01</t>
  </si>
  <si>
    <t>iš jų darbo užmokesčiui</t>
  </si>
  <si>
    <t>4</t>
  </si>
  <si>
    <t>10.04.01.40</t>
  </si>
  <si>
    <t>09</t>
  </si>
  <si>
    <t xml:space="preserve"> ŽEMĖS ŪKIO PLĖTRA IR MELIORACIJA</t>
  </si>
  <si>
    <t>11.1</t>
  </si>
  <si>
    <t>11.2</t>
  </si>
  <si>
    <t>11.3</t>
  </si>
  <si>
    <t>11.4</t>
  </si>
  <si>
    <t>01.06.01.02</t>
  </si>
  <si>
    <t>04.01.02.01</t>
  </si>
  <si>
    <t>Kėdainių r. Krakių Mikalojaus Katkaus gimnazija</t>
  </si>
  <si>
    <t>Kėdainių r. Dotnuvos pagrindinė mokykla</t>
  </si>
  <si>
    <t>Kėdainių r. Surviliškio Vinco Svirskio pagrindinė mokykla</t>
  </si>
  <si>
    <t>Kėdainių krašto muziejus</t>
  </si>
  <si>
    <t>Kėdainių kultūros centras</t>
  </si>
  <si>
    <t>Krakių kultūros centras</t>
  </si>
  <si>
    <t>Kėdainių šviesioji gimnazija</t>
  </si>
  <si>
    <t>Kėdainių kalbų mokykla</t>
  </si>
  <si>
    <t>Kėdainių muzikos  mokykla</t>
  </si>
  <si>
    <t>Akademijos kultūros centras</t>
  </si>
  <si>
    <t>Josvainių kultūros centras</t>
  </si>
  <si>
    <t>Šėtos kultūros centras</t>
  </si>
  <si>
    <t>Truskavos kultūros centras</t>
  </si>
  <si>
    <t>Kėdainių rajono savivaldybės Mikalojaus Daukšos viešoji biblioteka</t>
  </si>
  <si>
    <t>Kėdainių dailės mokykla</t>
  </si>
  <si>
    <t>Funkcijos kodas</t>
  </si>
  <si>
    <t>01</t>
  </si>
  <si>
    <t>ŠVIETIMAS IR UGDYMAS</t>
  </si>
  <si>
    <t>09.01.01.01</t>
  </si>
  <si>
    <t>09.01.02.01</t>
  </si>
  <si>
    <t>09.02.02.01</t>
  </si>
  <si>
    <t>09.02.01.01</t>
  </si>
  <si>
    <t>09.05.01.01</t>
  </si>
  <si>
    <t>09.08.01.01</t>
  </si>
  <si>
    <t>09.06.01.01</t>
  </si>
  <si>
    <t>02</t>
  </si>
  <si>
    <t>SVEIKATOS APSAUGA</t>
  </si>
  <si>
    <t>07.01.03.01</t>
  </si>
  <si>
    <t>07.03.01.01</t>
  </si>
  <si>
    <t>07.06.01.02</t>
  </si>
  <si>
    <t>10.01.02.02
10.07.01.01
10.09.01.01</t>
  </si>
  <si>
    <t>10.02.01.02</t>
  </si>
  <si>
    <t>10.07.01.01</t>
  </si>
  <si>
    <t>10.06.01.01</t>
  </si>
  <si>
    <t>09.06.01.01
10.01.02.40
10.02.01.40</t>
  </si>
  <si>
    <t>10.01.02.40</t>
  </si>
  <si>
    <t>04</t>
  </si>
  <si>
    <t>08.01.01.03</t>
  </si>
  <si>
    <t>05</t>
  </si>
  <si>
    <t>KULTŪROS VEIKLOS PLĖTRA</t>
  </si>
  <si>
    <t>08.02.01.08</t>
  </si>
  <si>
    <t>08.02.01.01</t>
  </si>
  <si>
    <t>08.02.01.02</t>
  </si>
  <si>
    <t>08.04.01.01</t>
  </si>
  <si>
    <t>07</t>
  </si>
  <si>
    <t>INFRASTRUKTŪROS OBJEKTŲ  PRIEŽIŪRA IR PLĖTRA</t>
  </si>
  <si>
    <t>06.04.01.01</t>
  </si>
  <si>
    <t>04.05.01.02 06.04.01.01</t>
  </si>
  <si>
    <t>06.01.01.01</t>
  </si>
  <si>
    <t>08</t>
  </si>
  <si>
    <t>APLINKOS APSAUGA</t>
  </si>
  <si>
    <t xml:space="preserve">05.01.01.01
06.02.01.01                       </t>
  </si>
  <si>
    <t>05.01.01.01</t>
  </si>
  <si>
    <t xml:space="preserve">05.01.01.01  05.02.01.01
06.03.01.01                       </t>
  </si>
  <si>
    <t xml:space="preserve">05.01.01.01               </t>
  </si>
  <si>
    <t>10</t>
  </si>
  <si>
    <t>PARAMA VERSLUI IR VERSLO PLĖTRA</t>
  </si>
  <si>
    <t>04.01.01.01</t>
  </si>
  <si>
    <t>Kėdainių rajono savivaldybės kontrolės ir audito tarnyba</t>
  </si>
  <si>
    <t xml:space="preserve">Kėdainių rajono savivaldybės administracija  </t>
  </si>
  <si>
    <t>03.01.01.01</t>
  </si>
  <si>
    <t>04.05.01.01</t>
  </si>
  <si>
    <t>01.07.01.01</t>
  </si>
  <si>
    <t xml:space="preserve">10.02.01.02 </t>
  </si>
  <si>
    <t>06</t>
  </si>
  <si>
    <t>KULTŪROS PAVELDO IŠSAUGOJIMAS, TURIZMO SKATINIMAS IR VYSTYMAS</t>
  </si>
  <si>
    <t>04.07.03.01</t>
  </si>
  <si>
    <t>10.01.02.01</t>
  </si>
  <si>
    <t xml:space="preserve">                                                               ___________________________________________</t>
  </si>
  <si>
    <t>07.06.01.09</t>
  </si>
  <si>
    <t>01.01.01.09</t>
  </si>
  <si>
    <t>Kėdainių suaugusiųjų ir jaunimo mokymo centras</t>
  </si>
  <si>
    <t>Kėdainių sporto centras</t>
  </si>
  <si>
    <t xml:space="preserve">                                                                                         ___________________________</t>
  </si>
  <si>
    <t xml:space="preserve">10.06.01.01 10.07.01.01
10.09.01.09 </t>
  </si>
  <si>
    <t>3 priedas</t>
  </si>
  <si>
    <t>08.02.01.07</t>
  </si>
  <si>
    <t>7 priedas</t>
  </si>
  <si>
    <t>Eil.   Nr.</t>
  </si>
  <si>
    <t>09.02.02.01
09.05.01.01</t>
  </si>
  <si>
    <t>Kėdainių Juozo Paukštelio progimnazija</t>
  </si>
  <si>
    <t>01.06.01.04</t>
  </si>
  <si>
    <t>Remontuoti objektus pagal administracijos direktoriaus įsakymus</t>
  </si>
  <si>
    <t>Likviduoti avarinius židinius</t>
  </si>
  <si>
    <t>Remontuoti biudžetinių įstaigų kiemus</t>
  </si>
  <si>
    <t>Remontuoti viešųjų ir biudžetinių įstaigų stogus</t>
  </si>
  <si>
    <t>08.06.01.01</t>
  </si>
  <si>
    <t>07.06.01.06</t>
  </si>
  <si>
    <t>04.09.01.01</t>
  </si>
  <si>
    <t>(tūkst. Eur)</t>
  </si>
  <si>
    <t>01.01.01.02
01.01.01.09
01.03.02.09
01.06.01.02
04.05.06.09 06.06.01.01
06.06.01.09</t>
  </si>
  <si>
    <t>05.03.01.01</t>
  </si>
  <si>
    <t>08.06.01.09</t>
  </si>
  <si>
    <t xml:space="preserve">Kėdainių švietimo pagalbos tarnyba </t>
  </si>
  <si>
    <t>Kėdainių r. Akademijos gimnazija</t>
  </si>
  <si>
    <t>Kėdainių r. Josvainių gimnazija</t>
  </si>
  <si>
    <t>Kėdainių r. Labūnavos pagrindinė mokykla</t>
  </si>
  <si>
    <t>Kėdainių r. Šėtos  gimnazija</t>
  </si>
  <si>
    <t xml:space="preserve">09.08.01.09    </t>
  </si>
  <si>
    <t xml:space="preserve">Rengti infrastruktūros objektų tvarkymo investicinius projektus, paraiškas, kitą techninę dokumentaciją  Europos Sąjungos fondų paramai gauti </t>
  </si>
  <si>
    <t>Įgyvendinti Kėdainių rajono savivaldybės bažnyčių rėmimo programą</t>
  </si>
  <si>
    <t>08.02.01.06
08.06.01.09</t>
  </si>
  <si>
    <t>08.04.01.02</t>
  </si>
  <si>
    <t>05.06.01.01</t>
  </si>
  <si>
    <t>05.02.01.01.</t>
  </si>
  <si>
    <t>Vykdyti savivaldybės viešųjų teritorijų tvarkymą</t>
  </si>
  <si>
    <t>Įgyvendinti priemones, finansuojamas iš Savivaldybės administracijos direktoriaus rezervo</t>
  </si>
  <si>
    <t>Kėdainių r. Miegėnų pagrindinė mokykla</t>
  </si>
  <si>
    <t>Kėdainių pagalbos šeimai centras</t>
  </si>
  <si>
    <t>09.05.01.01  09.05.01.02 09.05.01.03</t>
  </si>
  <si>
    <t>Atnaujinti Lietuvos sporto universiteto Kėdainių  „Aušros“ progimnaziją, kuriant modernias ir saugias erdves</t>
  </si>
  <si>
    <t xml:space="preserve">Užtikrinti socialinio būsto fondo plėtrą Kėdainiuose </t>
  </si>
  <si>
    <t>Atnaujinti ir plėsti komunalinių atliekų tvarkymo infrastruktūrą Kėdainių rajono savivaldybėje</t>
  </si>
  <si>
    <t>06.03.01.01</t>
  </si>
  <si>
    <t>Rekonstruoti ir plėsti vandentiekio ir buitinių nuotekų infrastruktūrą Šėtos miestelyje, Kunionių kaime bei Kėdainių mieste</t>
  </si>
  <si>
    <t>09.</t>
  </si>
  <si>
    <t>01-10</t>
  </si>
  <si>
    <t>Kėdainių lopšelis-darželis „Pasaka“</t>
  </si>
  <si>
    <t>Kėdainių lopšelis-darželis „Puriena“</t>
  </si>
  <si>
    <t>Kėdainių lopšelis-darželis „Varpelis“</t>
  </si>
  <si>
    <t>Kėdainių lopšelis-darželis „Vyturėlis“</t>
  </si>
  <si>
    <t>Kėdainių lopšelis-darželis „Žilvitis“</t>
  </si>
  <si>
    <t>Kėdainių lopšelis-darželis „Vaikystė“</t>
  </si>
  <si>
    <t>Lietuvos sporto universiteto Kėdainių „Aušros“ progimnazija</t>
  </si>
  <si>
    <t>Kėdainių „Ryto“ progimnazija</t>
  </si>
  <si>
    <t>Kėdainių „Atžalyno“ gimnazija</t>
  </si>
  <si>
    <t>Kėdainių lopšelis-darželis „Aviliukas“</t>
  </si>
  <si>
    <t xml:space="preserve">Kėdainių rajono savivaldybės administracija iš viso: </t>
  </si>
  <si>
    <t>Skatinti  savivaldybės gabius mokinius</t>
  </si>
  <si>
    <t>Kėdainių rajono savivaldybės visuomenės sveikatos biuras iš viso:</t>
  </si>
  <si>
    <t xml:space="preserve">07.04.01.02 </t>
  </si>
  <si>
    <t xml:space="preserve">Vykdyti ambulatorinės akušerinės ir ginekologinės pagalbos kokybės gerinimo Kėdainių rajono savivaldybės moterims 2019-2024 m. programą </t>
  </si>
  <si>
    <t xml:space="preserve">Didinti pirminės asmens sveikatos priežiūros veiklos efektyvumą VšĮ Kėdainių pirminės sveikatos priežiūros centre </t>
  </si>
  <si>
    <t>Aktualizuoti Kėdainių krašto muziejų, padidinant kultūros paveldo aktualumą, lankomumą ir žinomumą (įskaitant ekspozicijų atnaujinimą)</t>
  </si>
  <si>
    <t>Kėdainių rajono savivaldybės administracija iš viso :</t>
  </si>
  <si>
    <t xml:space="preserve">Finansuoti žvyro įsigijimą seniūnijų keliams prižiūrėti </t>
  </si>
  <si>
    <t xml:space="preserve">Finansuoti prevencinę programą „Saugios aplinkos kūrimas ir bendruomenės teisėtvarkos kūrimas" </t>
  </si>
  <si>
    <t>15.1</t>
  </si>
  <si>
    <t>07.02.01.01</t>
  </si>
  <si>
    <t>10.06.01.40 06.01.01.01</t>
  </si>
  <si>
    <t>Gerinti pirminės asmens sveikatos priežiūros paslaugų teikimo prieinamumą tuberkuliozės srityje</t>
  </si>
  <si>
    <t xml:space="preserve">iš jų: teikti integralią pagalbą į namus Kėdainių rajone </t>
  </si>
  <si>
    <t>Kėdainių rajono savivaldybės administracija iš viso:</t>
  </si>
  <si>
    <t>Finansuoti VšĮ Kėdainių turizmo ir verslo informacijos centro turizmo veiklos programą</t>
  </si>
  <si>
    <t>11.5</t>
  </si>
  <si>
    <t>Mokesčiai už valstybinius gamtos išteklius</t>
  </si>
  <si>
    <t>Kėdainių r. Vilainių mokykla-darželis „Obelėlė“</t>
  </si>
  <si>
    <t>Finansuoti vaikų dienos centrų veiklos programas</t>
  </si>
  <si>
    <t>Pritaikyti viešąją aplinką specialiųjų poreikių turintiems gyventojams</t>
  </si>
  <si>
    <t>Užtikrinti rajono nevyriausybinių organizacijų (įskaitant bendruomenines organizacijas) plėtrą, finansuojant projektus socialinio, pilietinio, kultūros paveldo pažinimo, etninės kultūros puoselėjimo, užimtumo bei verslumo srityse</t>
  </si>
  <si>
    <t>Vykdyti atliekų tvarkymo sistemos organizavimo funkciją</t>
  </si>
  <si>
    <t>Likviduoti apleistus (bešeimininkius ar savivaldybei nuosavybės teise priklausančius) pastatus ir kitus aplinką žalojančius objektus</t>
  </si>
  <si>
    <t>Rengti projektus ir remontuoti gyvenviečių lietaus nuotekų-drenažų sistemas</t>
  </si>
  <si>
    <t>Finansuoti VšĮ Kėdainių turizmo ir verslo informacijos centro viešųjų paslaugų verslui  programą</t>
  </si>
  <si>
    <t xml:space="preserve">                                                                           Kėdainių rajono savivaldybės tarybos</t>
  </si>
  <si>
    <t>Mokėti palūkanas</t>
  </si>
  <si>
    <t xml:space="preserve">SPORTO VEIKLOS PLĖTRA </t>
  </si>
  <si>
    <t>Įgyvendinti priemones, skirtas žemo slenksčio paslaugų kokybės gerinimui Kėdainių rajono savivaldybėje</t>
  </si>
  <si>
    <t>07.06.01.05</t>
  </si>
  <si>
    <t>05.02.01.01 
06.03.01.01</t>
  </si>
  <si>
    <t>05.02.01.01</t>
  </si>
  <si>
    <t>Dalyvauti Kauno regiono plėtros agentūros veikloje</t>
  </si>
  <si>
    <t>Vykdyti endoskopinių paslaugų prieinamumo ir kokybės gerinimo Kėdainių rajono savivaldybėje 2020-2025 m. programą</t>
  </si>
  <si>
    <t>Rekonstruoti Kėdainių miesto nuotekų valyklą</t>
  </si>
  <si>
    <t>Kėdainių švietimo pagalbos tarnyba</t>
  </si>
  <si>
    <t>Kėdainių rajono savivaldybės visuomenės sveikatos biuras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</si>
  <si>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</si>
  <si>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09.02.01.01   </t>
  </si>
  <si>
    <t>07.04.01.02</t>
  </si>
  <si>
    <t>8 priedas</t>
  </si>
  <si>
    <t>02.1</t>
  </si>
  <si>
    <t>02.2</t>
  </si>
  <si>
    <t>02.3</t>
  </si>
  <si>
    <t>Neveiksnių asmenų būklės peržiūrėjimui</t>
  </si>
  <si>
    <t>03.1</t>
  </si>
  <si>
    <t>Socialinėms paslaugoms:
Socialinei globai asmenims su sunkia negalia</t>
  </si>
  <si>
    <t>03.2</t>
  </si>
  <si>
    <t>Socialinėms paslaugoms:
 Socialinei priežiūrai socialinės rizikos šeimoms</t>
  </si>
  <si>
    <t>03.3</t>
  </si>
  <si>
    <t>Socialinių išmokų ir kompensacijų skaičiavimas ir mokėjimas</t>
  </si>
  <si>
    <t xml:space="preserve">10.03.01.01
10.07.01.01
10.09.01.09 </t>
  </si>
  <si>
    <t>03.4</t>
  </si>
  <si>
    <t>Išlaidoms už įsigytus produktus, mokinio reikmenis ir socialinei paramai mokiniams administruoti</t>
  </si>
  <si>
    <t>03.5</t>
  </si>
  <si>
    <t>Būsto nuomos ar išperkamosios būsto nuomos mokesčių dalies kompensacijoms</t>
  </si>
  <si>
    <t>09.1</t>
  </si>
  <si>
    <t>Žemės ūkio funkcijoms vykdyti</t>
  </si>
  <si>
    <t>04.02.01.04</t>
  </si>
  <si>
    <t>09.2</t>
  </si>
  <si>
    <t>iš jų: polderiams eksploatuoti</t>
  </si>
  <si>
    <t>04.02.01.01</t>
  </si>
  <si>
    <t>Tvarkyti erdvinių duomenų rinkinį</t>
  </si>
  <si>
    <t>Priešgaisrinių tarnybų organizavimas</t>
  </si>
  <si>
    <t>Gyventojų registro tvarkymas ir duomenų valstybės registrui teikimas</t>
  </si>
  <si>
    <t>01.03.03.02</t>
  </si>
  <si>
    <t>Archyvinių dokumentų tvarkymas</t>
  </si>
  <si>
    <t>Civilinės būklės aktų registravimas</t>
  </si>
  <si>
    <t>Civilinės saugos organizavimas</t>
  </si>
  <si>
    <t>02.02.01.01</t>
  </si>
  <si>
    <t>11.6</t>
  </si>
  <si>
    <t>Valstybinės kalbos vartojimo ir taisyklingumo kontrolė</t>
  </si>
  <si>
    <t>11.7</t>
  </si>
  <si>
    <t>Mobilizacijos administravimas</t>
  </si>
  <si>
    <t>02.01.01.04</t>
  </si>
  <si>
    <t>11.9</t>
  </si>
  <si>
    <t>Jaunimo teisių apsauga</t>
  </si>
  <si>
    <t>11.10</t>
  </si>
  <si>
    <t>Pirminė teisinė pagalba</t>
  </si>
  <si>
    <t>11.11</t>
  </si>
  <si>
    <t>11.12</t>
  </si>
  <si>
    <t>Gyvenamosios vietos deklaravimas</t>
  </si>
  <si>
    <t xml:space="preserve">                                                                                               ________________________________</t>
  </si>
  <si>
    <t>Vykdyti aplinkos apsaugos rėmimo specialiąją programą (pridedama 13 priedas)</t>
  </si>
  <si>
    <t>Vykdyti mamografijos paslaugų tęstinumo, kokybės gerinimo Kėdainių rajono savivaldybėje 2020-2025 m. programą</t>
  </si>
  <si>
    <t>Šėtos socialinis ir ugdymo centras</t>
  </si>
  <si>
    <t xml:space="preserve">Finansuoti vaikų vasaros stovyklų ir kitų neformaliojo vaikų švietimo veiklų programas  </t>
  </si>
  <si>
    <t>Teikti vienkartinę išmoką gimus vaikui Lietuvos Respublikos teritorijoje ir gyvenančiam Kėdainių rajono savivaldybėje</t>
  </si>
  <si>
    <t>Sudaryti saugias ugdymo sąlygas įstaigose, vykdančiose ugdymo programas</t>
  </si>
  <si>
    <t>Įrengti vėdinimo  ir kondicionavimo sistemas savivaldybės ugdymo įstaigose</t>
  </si>
  <si>
    <t>Atnaujinti ir (arba) plėsti bendruomeninę fizinio aktyvumo infrastruktūrą  mieste ir rajone, pritaikant ją bendruomenės poreikiams bei laisvalaikiui</t>
  </si>
  <si>
    <t>Finansuoti Kėdainių rajono vietos veiklos grupės teritorijos vietos plėtros 2015-2023 m. strategijos įgyvendinimą</t>
  </si>
  <si>
    <t>Atlikti Paberžės klebonijos ir svirno restauravimo ir remonto darbus</t>
  </si>
  <si>
    <t>Įrengti  valstybinės reikšmės kelių nuorodas į savivaldybės kultūros paveldo objektus</t>
  </si>
  <si>
    <t>Įgyvendinti projektą "Kėdainių gatvių apšvietimo modernizavimas"</t>
  </si>
  <si>
    <t>13.1</t>
  </si>
  <si>
    <t>Kėdainių krašto muziejus iš viso:</t>
  </si>
  <si>
    <t>06.04.01.01.</t>
  </si>
  <si>
    <t>Grąžinti valstybės biudžeto lėšas (dotaciją)</t>
  </si>
  <si>
    <t>iš jų: užimtumo didinimo programai įgyvendinti</t>
  </si>
  <si>
    <t>01.1</t>
  </si>
  <si>
    <t>01.2</t>
  </si>
  <si>
    <t>iš jų: modernizuoti Kėdainių krašto muziejaus Daugiakultūrio centrą</t>
  </si>
  <si>
    <t>09.08.01.09</t>
  </si>
  <si>
    <t>Koordinuotai teikiamų paslaugų vaikams nuo gimimo iki 18 metų (turintiems didelių ir labai didelių specialiųjų ugdymosi poreikių − iki 21 metų) ir vaiko atstovams koordinavimas</t>
  </si>
  <si>
    <t>01.08.01.02</t>
  </si>
  <si>
    <t xml:space="preserve">                                                                      Kėdainių rajono savivaldybės tarybos</t>
  </si>
  <si>
    <t xml:space="preserve">                                                 1 priedas</t>
  </si>
  <si>
    <t xml:space="preserve">             Pajamų pavadinimas</t>
  </si>
  <si>
    <t>Suma (tūkst. Eur)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</si>
  <si>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</si>
  <si>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</si>
  <si>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</si>
  <si>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</si>
  <si>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</si>
  <si>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Dotacija savivaldybėms iš Europos Sąjungos, kitos tarptautinės finansinės paramos ir bendrojo finansavimo lėšų einamiesiems tikslams</t>
  </si>
  <si>
    <t>Dotacija savivaldybėms iš Europos Sąjungos, kitos tarptautinės finansinės paramos ir bendrojo finansavimo lėšų turtui įsigyti</t>
  </si>
  <si>
    <t xml:space="preserve">     dalyvauti rengiant ir vykdant mobilizaciją</t>
  </si>
  <si>
    <t xml:space="preserve">     valstybinės kalbos vartojimo ir taisyklingumo kontrolei</t>
  </si>
  <si>
    <t xml:space="preserve">     socialinėms išmokoms ir kompensacijoms skaičiuoti ir mokėti </t>
  </si>
  <si>
    <t xml:space="preserve">     socialinei paramai mokiniams </t>
  </si>
  <si>
    <t xml:space="preserve">     socialinėms paslaugoms</t>
  </si>
  <si>
    <t xml:space="preserve">     jaunimo teisių apsaugai</t>
  </si>
  <si>
    <t xml:space="preserve">     būsto nuomos ar išperkamosios būsto nuomos mokesčių dalies kompensacijoms</t>
  </si>
  <si>
    <t xml:space="preserve">     civilinės būklės aktams registruoti</t>
  </si>
  <si>
    <t xml:space="preserve">     gyventojų registrui tvarkyti ir duomenims valstybės registrams teikti</t>
  </si>
  <si>
    <t xml:space="preserve">     civilinei saugai</t>
  </si>
  <si>
    <t xml:space="preserve">     priešgaisrinei saugai</t>
  </si>
  <si>
    <t xml:space="preserve">     žemės ūkio funkcijoms atlikti</t>
  </si>
  <si>
    <t xml:space="preserve">     melioracijai</t>
  </si>
  <si>
    <t xml:space="preserve">     savivaldybėms priskirtiems archyviniems dokumentams tvarkyti</t>
  </si>
  <si>
    <t xml:space="preserve">     neveiksnių asmenų būklės peržiūrėjimui</t>
  </si>
  <si>
    <t>Kita tikslinė dotacija, iš jos:</t>
  </si>
  <si>
    <t xml:space="preserve">     mokyklos specialiųjų ugdymosi poreikių turintiems mokiniams</t>
  </si>
  <si>
    <t>Kitos dotacijos, iš jų: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</si>
  <si>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</si>
  <si>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</si>
  <si>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</si>
  <si>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</si>
  <si>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</si>
  <si>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</si>
  <si>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Valstybės rinkliava</t>
  </si>
  <si>
    <t>Vietinė rinkliava</t>
  </si>
  <si>
    <t>Pajamos iš baudų ir konfiskacijos</t>
  </si>
  <si>
    <t>Materialiojo ir nematerialiojo turto realizavimo pajamos</t>
  </si>
  <si>
    <t>FINANSINIŲ ĮSIPAREIGOJIMŲ PRISIĖMIMO (SKOLINIMOSI) PAJAMOS</t>
  </si>
  <si>
    <t xml:space="preserve">Biudžeto apyvartos </t>
  </si>
  <si>
    <t>Prekių ir paslaugų</t>
  </si>
  <si>
    <t>Ilgalaikio ir trumpalaikio materialiojo turto nuomos</t>
  </si>
  <si>
    <t>Įmokų už išlaikymą švietimo, socialinės apsaugos ir kitose įstaigose</t>
  </si>
  <si>
    <t xml:space="preserve">Aplinkos apsaugos rėmimo programos apyvartos </t>
  </si>
  <si>
    <t>Pajamų už vietinę rinkliavą</t>
  </si>
  <si>
    <t>Pajamų už parduotą turtą</t>
  </si>
  <si>
    <t>Dotacija savivaldybėms iš Europos Sąjungos, kitos tarptautinės finansinės paramos ir bendrojo finansavimo lėšų turtui įsigyti iš jų:</t>
  </si>
  <si>
    <t>IŠ VISO (34+35)</t>
  </si>
  <si>
    <t>________________________________________________</t>
  </si>
  <si>
    <t xml:space="preserve">                                                                 Kėdainių rajono savivaldybės tarybos</t>
  </si>
  <si>
    <t>09.02.01.01
09.02.02.01 
09.05.01.01
09.05.01.02</t>
  </si>
  <si>
    <t>16.1</t>
  </si>
  <si>
    <t>Kėdainių „Spindulio“ mokykla</t>
  </si>
  <si>
    <t>Progra- mos kodas</t>
  </si>
  <si>
    <t>10 priedas</t>
  </si>
  <si>
    <t xml:space="preserve">                                                    Kėdainių rajono savivaldybės tarybos</t>
  </si>
  <si>
    <t>Remontuoti Kėdainių „Ryto“ progimnaziją, kuriant šiuolaikines mokymosi erdves</t>
  </si>
  <si>
    <t>Vykdyti E. sveikatos informacinės sistemos diegimo,  palaikymo ir tobulinimo VšĮ PSPC  ir VšĮ Kėdainių ligoninėje 2022 -2026 m. programą</t>
  </si>
  <si>
    <t>Vykdyti anestezijos paslaugų vaikams ir suaugusiesiems kokybės gerinimo Kėdainių rajono savivaldybėje 2022-2027 m. programą</t>
  </si>
  <si>
    <t>Vykdyti rentgeno paslaugų atnaujinimo, kokybės gerinimo Kėdainių rajono savivaldybėje 2022-2027 m. programą</t>
  </si>
  <si>
    <t>Organizuoti  nemokamą socialiai remtinų vaikų maitinimą ikimokyklinėse įstaigose</t>
  </si>
  <si>
    <t>Kompensuoti nemokamo mokinių maitinimo kainą bendrojo lavinimo mokyklose</t>
  </si>
  <si>
    <t xml:space="preserve">Organizuoti socialinės reabilitacijos paslaugų neįgaliesiems bendruomenėje projektų konkursus </t>
  </si>
  <si>
    <t>Dengti kainų skirtumą gyventojams už šildymą</t>
  </si>
  <si>
    <t>Kompensuoti  karšto ir šalto vandens pardavimo kainą socialiai remtiniems  asmenims</t>
  </si>
  <si>
    <t>Kompensuoti kelionės išlaidas už lengvatinį keleivių vežimą</t>
  </si>
  <si>
    <t xml:space="preserve">Remontuoti savivaldybės ir socialinį būstą </t>
  </si>
  <si>
    <t>Sudaryti sąlygas bendruomeninių organizacijų veiklai</t>
  </si>
  <si>
    <t>Skatinti nevyriausybinių organizacijų, bendruomeninių organizacijų plėtrą rajone</t>
  </si>
  <si>
    <t xml:space="preserve"> </t>
  </si>
  <si>
    <t>Atlikti archeologinius ir kitus tyrinėjimus kultūros paveldo teritorijose, vykdyti paveldo objektams parengtų tvarkybos projektų ekspertizę, parengti sąmatas</t>
  </si>
  <si>
    <t>Teikti finansinę paramą verslą pradedantiems ar sunkumų patiriantiems SVV subjektams Kėdainių rajone per Savivaldybės smulkiojo verslo rėmimo fondą</t>
  </si>
  <si>
    <t xml:space="preserve">Kompensuoti UAB "Kėdbusas" nuostolingus  maršrutus </t>
  </si>
  <si>
    <t xml:space="preserve">Įgyvendinti priemones, finansuojamas iš Savivaldybės mero fondo </t>
  </si>
  <si>
    <t>Rengti specialiuosius, bendruosius, detaliuosius, geodezinius planus bei  topografines nuotraukas</t>
  </si>
  <si>
    <t xml:space="preserve">Atlikti turto inventorizavimą, teisinę registraciją, parengti  dokumentus turto pardavimui  </t>
  </si>
  <si>
    <t xml:space="preserve">Plėsti vandentiekio ir nuotekų tinklus Šlapaberžės kaime </t>
  </si>
  <si>
    <t>Parengti nuotekų tinklų įrengimo Josvainių mstl. P.Cvirkos g. projektą</t>
  </si>
  <si>
    <t>Finansuoti inžinerines paslaugas, darbus ir įrengimus</t>
  </si>
  <si>
    <t>Apmokėti Europos Sąjungos projektų,  kuriems taikomas apmokėjimas kompensavimo būdu, išlaidas</t>
  </si>
  <si>
    <t xml:space="preserve"> MOKESČIAI (2+3+4+8)</t>
  </si>
  <si>
    <t>Gyventojų pajamų mokestis, mokamas už pajamas, gautas iš veiklos, kuria verčiamasi turint verslo liudijimą</t>
  </si>
  <si>
    <t>Turto mokesčiai (5+6+7)</t>
  </si>
  <si>
    <t>Prekių ir paslaugų mokesčiai (9)</t>
  </si>
  <si>
    <t>DOTACIJOS (11+12+16)</t>
  </si>
  <si>
    <t>Dotacija savivaldybėms iš Europos Sąjungos, kitos tarptautinės finansinės paramos ir bendrojo finansavimo lėšų (11.1+11.2 )</t>
  </si>
  <si>
    <t>Speciali tikslinė dotacija (13+14+15), iš jos:</t>
  </si>
  <si>
    <t>Valstybinėms (perduotoms savivaldybėms) funkcijoms atlikti, iš jos: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</si>
  <si>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</si>
  <si>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</si>
  <si>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</si>
  <si>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</si>
  <si>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</si>
  <si>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</si>
  <si>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</si>
  <si>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</si>
  <si>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</si>
  <si>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</si>
  <si>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</si>
  <si>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</si>
  <si>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</si>
  <si>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</si>
  <si>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</si>
  <si>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</si>
  <si>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</si>
  <si>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</si>
  <si>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</si>
  <si>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</si>
  <si>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 xml:space="preserve">     sveikos gyvensenos plėtojimui ir stiprinimui, visuomenės sveikatos stebėsenai</t>
  </si>
  <si>
    <t>13.22</t>
  </si>
  <si>
    <t>13.23</t>
  </si>
  <si>
    <t>Ugdymo reikmėms finansuoti</t>
  </si>
  <si>
    <t>KITOS PAJAMOS (18+23+27+30+31+32)</t>
  </si>
  <si>
    <t>Turto pajamos (19+20+21+22)</t>
  </si>
  <si>
    <t>Pajamos už prekes ir paslaugas (24+25+26)</t>
  </si>
  <si>
    <t>Rinkliavos (28+29 )</t>
  </si>
  <si>
    <t xml:space="preserve">                                       IŠ VISO PAJAMŲ IR DOTACIJŲ (1+10+17)</t>
  </si>
  <si>
    <t>IŠ VISO (33+34)</t>
  </si>
  <si>
    <t>iš jų: aprūpinti ikimokyklinio ugdymo įstaigų sveikatos kabinetus metodinėmis priemonėmis</t>
  </si>
  <si>
    <t>6.1</t>
  </si>
  <si>
    <t>11.8</t>
  </si>
  <si>
    <t xml:space="preserve">Parengti vandentiekio ir nuotekų tinklų išplėtimo Mantviliškio  kaime techninį projektą </t>
  </si>
  <si>
    <t xml:space="preserve"> Sveikos gyvensenos plėtojimui ir stiprinimui, visuomenės sveikatos stebėsenai</t>
  </si>
  <si>
    <t>04.01.02.09</t>
  </si>
  <si>
    <t xml:space="preserve">Įgyvendinti kultūros paveldo objektų, esančių Kėdainių rajono savivaldybės teritorijoje ir kultūros paveldo statinių, esančių Kėdainių senamiesčio dalyje išsaugojimo darbų finansavimo programą </t>
  </si>
  <si>
    <t>03.6</t>
  </si>
  <si>
    <t xml:space="preserve">Teikti apdovanojimus aukšto meistriškumo sportininkams ir jų treneriams už sporto pasiekimus </t>
  </si>
  <si>
    <t xml:space="preserve">Parengti Senojo Upytės kelio specialųjį planą ("Isos slėnis") </t>
  </si>
  <si>
    <t>Sutvarkyti namų ūkiuose susidariusias asbesto atliekas</t>
  </si>
  <si>
    <t xml:space="preserve">Socialinėms paslaugoms:
Teikti šeimoms individualios priežiūros darbuotojų paslaugas </t>
  </si>
  <si>
    <t>Vykdyti Kėdainių lopšelio-darželio „Žilvitis“ infrastruktūros modernizavimo projektą</t>
  </si>
  <si>
    <t>10.01.02.01
10.01.02.02
10.06.01.01
10.09.01.01 
10.09.01.09</t>
  </si>
  <si>
    <t>Rekonstruoti/įrengti/modernizuoti Kėdainių miesto ir rajono  gatvių apšvietimą</t>
  </si>
  <si>
    <t xml:space="preserve">2023 METŲ VALSTYBĖS BIUDŽETO SPECIALIOS TIKSLINĖS DOTACIJOS SAVIVALDYBĖS BIUDŽETUI KITI ASIGNAVIMAI </t>
  </si>
  <si>
    <t>2023 METŲ VALSTYBĖS BIUDŽETO SPECIALIOS TIKSLINĖS DOTACIJOS SAVIVALDYBĖS BIUDŽETUI VALSTYBINĖMS (VALSTYBĖS PERDUOTOMS SAVIVALDYBEI) FUNKCIJOMS ATLIKTI ASIGNAVIMAI</t>
  </si>
  <si>
    <t xml:space="preserve">KĖDAINIŲ RAJONO SAVIVALDYBĖS 2023 METŲ BIUDŽETO ASIGNAVIMAI PROJEKTAMS FINANSUOTI EUROPOS SĄJUNGOS LĖŠOMIS </t>
  </si>
  <si>
    <t>KĖDAINIŲ RAJONO SAVIVALDYBĖS 2023 METŲ BIUDŽETO ASIGNAVIMAI  SAVARANKIŠKOMS FUNKCIJOMS ATLIKTI</t>
  </si>
  <si>
    <t xml:space="preserve">          KĖDAINIŲ RAJONO SAVIVALDYBĖS 2023 METŲ BIUDŽETO PAJAMOS</t>
  </si>
  <si>
    <t>Kėdainių rajono savivaldybės 2023 m. biudžeto asignavimai investicijų projektams ir remonto darbams finansuoti pagal objektus:</t>
  </si>
  <si>
    <t>iš jų: vykdyti socialinės paramos 2023 m. programą</t>
  </si>
  <si>
    <t xml:space="preserve">Įdiegti saulės elektrinės pagamintos  energijos kaupimo įrenginį Kėdainių r. Šėtos gimnazijoje </t>
  </si>
  <si>
    <t>Didinti Kėdainių lopšelio-darželio „Varpelis“ (Pavasario g. 8, Kėdainiai) pastato energinį efektyvumą, modernizuoti vidaus erdves</t>
  </si>
  <si>
    <t>Didinti Kėdainių lopšelio-darželio „Vyturėlis“ (Josvainių g. 53, Kėdainiai) pastato energinį efektyvumą, modernizuoti vidaus erdves</t>
  </si>
  <si>
    <t xml:space="preserve">Didinti ugdymo prieinamumą atskirtį patiriantiems vaikams </t>
  </si>
  <si>
    <t>Plėtoti įvairialypį švietimą, vykdant visos dienos mokyklos veiklą</t>
  </si>
  <si>
    <t xml:space="preserve">Vykdyti Kėdainių rajono tuberkuliozės prevencijos, ankstyvosios diagnostikos, gydymo ir kontrolės 2023–2027 m. programą </t>
  </si>
  <si>
    <t>Vykdyti pirminės asmens sveikatos priežiūros paslaugų prieinamumo ir kokybės užtikrinimo Kėdainių rajono kaimiškųjų vietovių gyventojams 2017–2025 m. programą</t>
  </si>
  <si>
    <t>Įgyvendinti žemo slenksčio paslaugų kokybės  Kėdainių rajone užtikrinimo 2023-2027 m. programą</t>
  </si>
  <si>
    <t>Stiprinti vaikų, turinčių  autizmo spektro ir kitų raidos sutrikimų, sveikatą, sudaryti galimybes siekti asmeninės pažangos, užtikrinti pilnaverčio socialinio dalyvavimo prielaidas</t>
  </si>
  <si>
    <t xml:space="preserve">Teikti pagalbą į krizines situacijas patekusiems, smurtą artimoje aplinkoje patyrusiems asmenims ir jų šeimų nariams </t>
  </si>
  <si>
    <t>Įgyvendinti savarankiško gyvenimo namų paslaugų senyvo amžiaus asmenims teikimo programą</t>
  </si>
  <si>
    <t xml:space="preserve">Užtikrinti laisvės atėmimo bausmę atlikusių asmenų integraciją į visuomenę </t>
  </si>
  <si>
    <t>Plėsti Kėdainių rajono savivaldybės socialines paslaugas teikiančių įstaigų informacinių technologijų aplinką bei elektronines paslaugas</t>
  </si>
  <si>
    <t>Futbolo komandos Kėdainių „Nevėžis“ klubinio futbolo vystymo programai</t>
  </si>
  <si>
    <t>Bokso sporto šakos vystymo programai</t>
  </si>
  <si>
    <t>Kėdainių rajono vaikų ir jaunimo futbolo plėtros programai</t>
  </si>
  <si>
    <t>3 prieš 3 krepšinio plėtros programai</t>
  </si>
  <si>
    <t>Moterų futbolo komandos Kėdainių „Nevėžis“ programai</t>
  </si>
  <si>
    <t>Finansuoti sporto projektus</t>
  </si>
  <si>
    <t>Rengti techninę dokumentaciją  Kėdainių miesto ir rajono ugdymo įstaigų stadionų /sporto aikštynų atnaujinimui</t>
  </si>
  <si>
    <t xml:space="preserve">Kėdainių krepšinio komandos „Nevėžis-Optibet“ klubinio krepšinio vystymo programai </t>
  </si>
  <si>
    <t>iš jų: dalyvauti Žydų kultūros paveldo kelio asociacijos veikloje ir puoselėti žydų kultūros paveldo atminimą Kėdainiuose</t>
  </si>
  <si>
    <t xml:space="preserve">Įsigyti Janinos Monkutės-Marks pastatą </t>
  </si>
  <si>
    <t xml:space="preserve">Parengti Nekilnojamųjų kultūros vertybių vertinimo medžiagą,  nekilnojamųjų kultūros paveldo objektų, vietovių  individualius apsaugos reglamentus </t>
  </si>
  <si>
    <t>Rengti dokumentaciją, atlikti lankytinų objektų,  kultūros paveldo objektų ar objektų, esančių kultūros paveldo teritorijų prieigose, tvarkybos, atnaujinimo, restauravimo darbus seniūnijose</t>
  </si>
  <si>
    <t>Įrengti, rekonstruoti, išplėsti vandentiekio ir/ar nuotekų tinklus Kėdainių mieste ( Šviesos, g. Pievų g.)</t>
  </si>
  <si>
    <t xml:space="preserve">Įrengti biologinius nuotekų valymo įrenginius </t>
  </si>
  <si>
    <t>Parengti  nuotekų tinklų ir nuotekų valyklos įrengimo  Okainių k. techninį projektą</t>
  </si>
  <si>
    <t>Parengti vandentiekio ir nuotekų tinklų, nuotekų valyklos įrengimo  Langakių k. techninį projektą</t>
  </si>
  <si>
    <t>Sutvarkyti naudotas padangas, kurių turėtojų nustatyti neįmanoma arba kurie neegzistuoja</t>
  </si>
  <si>
    <t>Vykdyti Kėdainių rajono Dotnuvos seniūnijos Kruostos upės Vaidatonių tvenkinio hidrotechnikos statinių rekonstrukciją ir techninės priežiūros paslaugas</t>
  </si>
  <si>
    <t>Dalyvauti projekto „MSNA „Daukšių drenažas“ nariams priklausančių ir valstybinių melioracijos statinių rekonstravimas“ įgyvendinime</t>
  </si>
  <si>
    <t xml:space="preserve">Parengti techninę dokumentaciją ir atlikti Kėdainių miesto hidrotechnikos statinio ant Dotnuvėlės upės remonto darbus </t>
  </si>
  <si>
    <t>Didinti piliečių įtraukimo į biudžeto formavimą galimybes, įgyvendinant dalyvaujamojo biudžeto iniciatyvas</t>
  </si>
  <si>
    <t xml:space="preserve">Kita dotacija kompleksinėms paslaugoms šeimai organizuoti 2023 metais </t>
  </si>
  <si>
    <t>2022 METŲ NEPANAUDOTOS BIUDŽETO PAJAMOS, IŠ JŲ:</t>
  </si>
  <si>
    <t>Kėdainių rajono savivaldybės 2023 m. valstybei nuosavybės teise priklausančių melioracijos statinių priežiūrai ir remonto darbams įskaitant priešprojektinius tyrinėjimus, techninės sąmatinės dokumentacijos sudarymą, ekspertizę, darbų techninę priežiūrą bei kitus susijusius darbus</t>
  </si>
  <si>
    <t>31.1</t>
  </si>
  <si>
    <t>31.2</t>
  </si>
  <si>
    <t>31.3</t>
  </si>
  <si>
    <t>31.4</t>
  </si>
  <si>
    <t>31.5</t>
  </si>
  <si>
    <t>31.5.1</t>
  </si>
  <si>
    <t>31.5.2</t>
  </si>
  <si>
    <t>31.5.3</t>
  </si>
  <si>
    <t>31.5.4</t>
  </si>
  <si>
    <t>31.5.5</t>
  </si>
  <si>
    <t>31.5.6</t>
  </si>
  <si>
    <t>31.5.7</t>
  </si>
  <si>
    <t>31.5.8</t>
  </si>
  <si>
    <t>31.5.9</t>
  </si>
  <si>
    <t>31.5.10</t>
  </si>
  <si>
    <t>34.1</t>
  </si>
  <si>
    <t>34.2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</si>
  <si>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</si>
  <si>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</si>
  <si>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</si>
  <si>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</si>
  <si>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</si>
  <si>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</si>
  <si>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</si>
  <si>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</si>
  <si>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</si>
  <si>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34.12</t>
  </si>
  <si>
    <t>34.13</t>
  </si>
  <si>
    <t>34.14</t>
  </si>
  <si>
    <t>41.1</t>
  </si>
  <si>
    <t>41.2</t>
  </si>
  <si>
    <t>41.3</t>
  </si>
  <si>
    <t>41.4</t>
  </si>
  <si>
    <t>41.5</t>
  </si>
  <si>
    <t>41.6</t>
  </si>
  <si>
    <t>41.7</t>
  </si>
  <si>
    <t>41.8</t>
  </si>
  <si>
    <t>41.9</t>
  </si>
  <si>
    <t>41.10</t>
  </si>
  <si>
    <t>41.11</t>
  </si>
  <si>
    <t>41.12</t>
  </si>
  <si>
    <t>41.13</t>
  </si>
  <si>
    <t>41.14</t>
  </si>
  <si>
    <t>41.15</t>
  </si>
  <si>
    <t>55.1</t>
  </si>
  <si>
    <t>55.2</t>
  </si>
  <si>
    <t>55.3</t>
  </si>
  <si>
    <t>55.4</t>
  </si>
  <si>
    <t>55.5</t>
  </si>
  <si>
    <t>55.6</t>
  </si>
  <si>
    <t>55.6.1</t>
  </si>
  <si>
    <t>55.6.2</t>
  </si>
  <si>
    <t>74.1</t>
  </si>
  <si>
    <t>74.2</t>
  </si>
  <si>
    <t>74.3</t>
  </si>
  <si>
    <t>74.4</t>
  </si>
  <si>
    <t>74.5</t>
  </si>
  <si>
    <t>74.6</t>
  </si>
  <si>
    <t>74.7</t>
  </si>
  <si>
    <t>74.7.1</t>
  </si>
  <si>
    <t>74.7.2</t>
  </si>
  <si>
    <t>78.1</t>
  </si>
  <si>
    <t>Finansuoti sporto šakų programas, iš jų:</t>
  </si>
  <si>
    <t>78.2</t>
  </si>
  <si>
    <t>78.3</t>
  </si>
  <si>
    <t>78.4</t>
  </si>
  <si>
    <t>2.1</t>
  </si>
  <si>
    <t>2.2</t>
  </si>
  <si>
    <t>2.3</t>
  </si>
  <si>
    <t>2.4</t>
  </si>
  <si>
    <t>3</t>
  </si>
  <si>
    <t>4.1</t>
  </si>
  <si>
    <t>8.1</t>
  </si>
  <si>
    <t>10.1</t>
  </si>
  <si>
    <t>5</t>
  </si>
  <si>
    <t>6</t>
  </si>
  <si>
    <t>10.</t>
  </si>
  <si>
    <t xml:space="preserve">01.03.02.09
</t>
  </si>
  <si>
    <t>Vykdyti kompiuterinės tomografijos paslaugų kokybės gerinimo Kėdainių rajono savivaldybėje 2023-2030 m. programą</t>
  </si>
  <si>
    <t xml:space="preserve">     užimtumo didinimo programoms įgyvendinti</t>
  </si>
  <si>
    <t>Užimtumo didinimo programų įgyvendinimas</t>
  </si>
  <si>
    <t xml:space="preserve">   pirminei valstybės garantuojamai teisinei pagalbai teikti</t>
  </si>
  <si>
    <t xml:space="preserve">     gyvenamosios vietos deklaravimo duomenų ir gyvenamosios vietos nedeklaravusių asmenų apskaitos duomenims tvarkyti</t>
  </si>
  <si>
    <t xml:space="preserve">     erdvinių duomenų rinkiniui tvarkyti</t>
  </si>
  <si>
    <t xml:space="preserve">     duomenų teikimas suteiktos valstybės pagalbos registrui</t>
  </si>
  <si>
    <t>Duomenų teikimas suteiktos valstybės pagalbos registrui</t>
  </si>
  <si>
    <t xml:space="preserve">     psichosocialinės pagalbos ir savižudžių prevencijos priemonių įgyvendinimui</t>
  </si>
  <si>
    <t xml:space="preserve"> Psichosocialinės pagalbos ir savižudžių prevencijos priemonių įgyvendinimui</t>
  </si>
  <si>
    <t xml:space="preserve">     koordinuotai teikiamų paslaugų vaikams nuo gimimo iki 18 metų (turintiems didelių ir labai didelių specialiųjų ugdymosi poreikių − iki 21 metų) ir vaiko atstovams koordinavimui</t>
  </si>
  <si>
    <t>03.7</t>
  </si>
  <si>
    <t xml:space="preserve">04.01.02.01 10.06.01.01 10.07.01.01
10.09.01.09 </t>
  </si>
  <si>
    <t>04.01.02.01 10.06.01.01 10.07.01.01
10.09.01.09</t>
  </si>
  <si>
    <t>iš jų: parengti Kėdainių evangelikų ir reformatų bažnyčios tvarkybos darbų projektą ir atlikti tvarkybos darbus</t>
  </si>
  <si>
    <t xml:space="preserve"> 10.06.01.01 10.07.01.01
10.09.01.09</t>
  </si>
  <si>
    <t>16.2</t>
  </si>
  <si>
    <t>16.3</t>
  </si>
  <si>
    <t xml:space="preserve">      valstybės biudžeto lėšos, skirtos 2023 metais socialinės reabilitacijos paslaugų neįgaliesiems teikimo bendruomenėje organizuoti, teikti ir administruoti</t>
  </si>
  <si>
    <t>Kita dotacija 2023 metais socialinės reabilitacijos paslaugų neįgaliesiems teikimo bendruomenėje organizuoti, teikti ir administruoti</t>
  </si>
  <si>
    <t>Kita dotacija 2023 m. akredituotai vaikų dienos socialinei priežiūrai organizuoti, teikti ir administruot</t>
  </si>
  <si>
    <t>Įgyvendinti mokytojų ir pagalbos mokiniui specialistų  motyvacijos programą</t>
  </si>
  <si>
    <t>Prisidėti prie savivaldybei priklausančio būsto renovacijos savivaldybės biudžeto lėšomis</t>
  </si>
  <si>
    <t>31.5.11</t>
  </si>
  <si>
    <t>Koofinansuoti  ugdymo įstaigų dalyvavimą infrastruktūros gerinimo/modernizavimo projektuose</t>
  </si>
  <si>
    <t xml:space="preserve">Įrengti pėsčiųjų ir dviračių takus Pramonės g. Kėdainių mieste  </t>
  </si>
  <si>
    <t>04.05.01.02</t>
  </si>
  <si>
    <t>Kompleksiškai sutvarkyti ir pritaikyti bendruomenei ir verslui Kėdainių miesto viešąsias erdves</t>
  </si>
  <si>
    <t>13</t>
  </si>
  <si>
    <t>05.1</t>
  </si>
  <si>
    <t>Kita dotacija savivaldybės viešajai bibliotekai dokumentams 2022 metais įsigyti</t>
  </si>
  <si>
    <t xml:space="preserve">  savivaldybės viešajai bibliotekai dokumentams 2023 m. įsigyti</t>
  </si>
  <si>
    <t xml:space="preserve">     valstybės biudžeto lėšos, skirtos 2023 m. apmokėti būstų nuomai iš fizinių ar juridinių asmenų</t>
  </si>
  <si>
    <t xml:space="preserve">     valstybės biudžeto lėšos, skirtos 2023 m. asmeninei pagalbai teikti ir administruoti</t>
  </si>
  <si>
    <t xml:space="preserve">     valstybės biudžeto lėšos, skirtos vykdyti Nevėžio upės vientisumo atkūrimą, nugriaunant neeksploatuojamus hidroelektrinės statinius ir techninės priežiūros paslaugas </t>
  </si>
  <si>
    <t>16.4</t>
  </si>
  <si>
    <t>16.5</t>
  </si>
  <si>
    <t>16.6</t>
  </si>
  <si>
    <t>16.7</t>
  </si>
  <si>
    <t>08.1</t>
  </si>
  <si>
    <t xml:space="preserve">Kita dotacija  vykdyti Nevėžio upės vientisumo atkūrimą, nugriaunant neeksploatuojamus hidroelektrinės statinius ir techninės priežiūros paslaugas </t>
  </si>
  <si>
    <t>Kita dotacija 2023 metais asmeninei pagalbai teikti ir administruoti</t>
  </si>
  <si>
    <t>Kita dotacija 2023 m. apmokėti būstų nuomai iš fizinių ar juridinių asmenų</t>
  </si>
  <si>
    <t>prioritetinės ir neprioritetinės infrastruktūros įmokos</t>
  </si>
  <si>
    <t>Kitos neišvardytos pajamos, iš jų:</t>
  </si>
  <si>
    <t>Teikti kompleksines paslaugas šeimai Kėdainių rajone</t>
  </si>
  <si>
    <t>Rengti infrastruktūros plėtros  technines dokumentacijas</t>
  </si>
  <si>
    <t>Mokėti išmokas pagal savivaldybės infrastruktūros plėtros sutartis</t>
  </si>
  <si>
    <t>6.2</t>
  </si>
  <si>
    <t>12.1</t>
  </si>
  <si>
    <t>12.2</t>
  </si>
  <si>
    <t>14.1</t>
  </si>
  <si>
    <t>10.2</t>
  </si>
  <si>
    <t>14</t>
  </si>
  <si>
    <t>16.8</t>
  </si>
  <si>
    <t xml:space="preserve">  valstybės biudžeto lėšos, skirtos 2023 m. akredituotai vaikų dienos socialinei priežiūrai organizuoti, teikti ir administruoti</t>
  </si>
  <si>
    <t xml:space="preserve">  valstybės biudžeto lėšos kompleksinėms paslaugoms šeimai organizuoti 2023 metais </t>
  </si>
  <si>
    <t xml:space="preserve">    valstybės biudžeto lėšos, skirtos savivaldybės administracijai vienkartinėms išmokoms įsikurti gyvenamojoje vietoje savivaldybės teritorijoje ir (ar) mėnesinėms kompensacijoms atlyginimui švietimo teikėjui už vaiko, ugdymo pagal ikimokyklinio ir priešmokyklinio ugdymo programą išlaidoms</t>
  </si>
  <si>
    <t>Kita dotacija  vienkartinėms išmokoms įsikurti gyvenamojoje vietoje savivaldybės teritorijoje ir (ar) mėnesinėms kompensacijoms atlyginimui švietimo teikėjui už vaiko, ugdymo pagal ikimokyklinio ir priešmokyklinio ugdymo programą išlaidoms</t>
  </si>
  <si>
    <t xml:space="preserve">Teikti ir administruoti asmeninę pagalbą </t>
  </si>
  <si>
    <t>41.16</t>
  </si>
  <si>
    <t>41.16.1</t>
  </si>
  <si>
    <t>41.16.2</t>
  </si>
  <si>
    <t>41.16.3</t>
  </si>
  <si>
    <t>41.16.4</t>
  </si>
  <si>
    <t>Įrengti gamtos ir technologijų mokslų laboratorijas</t>
  </si>
  <si>
    <t>Atnaujinti Kėdainių muzikos mokyklos pastato fasadą, laiptus į rūsį</t>
  </si>
  <si>
    <t>Parengti Akademijos parko tvarkybos  techninį projektą</t>
  </si>
  <si>
    <t>78.5</t>
  </si>
  <si>
    <t>78.5.1</t>
  </si>
  <si>
    <t>78.5.2</t>
  </si>
  <si>
    <t>78.5.3</t>
  </si>
  <si>
    <t>78.5.4</t>
  </si>
  <si>
    <t>78.5.5</t>
  </si>
  <si>
    <t>78.5.6</t>
  </si>
  <si>
    <t>iš jų: vykdyti socialinio - emocinio ugdymo programas</t>
  </si>
  <si>
    <t>31.5.12</t>
  </si>
  <si>
    <t>Kita dotacija už būsto suteikimą užsieniečiams, pasitraukusiems iš Ukrainos dėl Rusijos federacijos karinės agresijos, finansuoti</t>
  </si>
  <si>
    <t>16.9</t>
  </si>
  <si>
    <t xml:space="preserve">     kompensuoti išlaidas už būsto suteikimą užsieniečiams, pasitraukusiems iš Ukrainos dėl Rusijos federacijos karinės agresijos</t>
  </si>
  <si>
    <t xml:space="preserve">    valstybės biudžeto lėšos, skirtos neformaliajam vaikų švietimui </t>
  </si>
  <si>
    <t>16.10</t>
  </si>
  <si>
    <t>Kita dotacija neformaliajam vaikų švietimui</t>
  </si>
  <si>
    <t xml:space="preserve"> 09.05.01.03</t>
  </si>
  <si>
    <t>Kėdainių rajono savivaldybės administracija</t>
  </si>
  <si>
    <t xml:space="preserve"> 09.05.01.01</t>
  </si>
  <si>
    <t>iš jų: kurti modernias ir šiuolaikines mokymosi erdves Kėdainių kalbų mokykloje</t>
  </si>
  <si>
    <t>11.13</t>
  </si>
  <si>
    <t>Įgyvendinti savarankiško gyvenimo namų paslaugų asmenims su sutrikusiu intelekĮgyvendinti savarankiško gyvenimo namų paslaugų asmenims su sutrikusiu intelektu teikimo programą</t>
  </si>
  <si>
    <t xml:space="preserve">Finansuoti vaikų mokymo plaukti veiklos programą, dalyvaujant projekte „Mokėk plaukti ir saugiau elgtis vandenyje“ </t>
  </si>
  <si>
    <t>Užtikrinti Kėdainių miesto vietos veiklos grupės 2023–2027 m. vietos plėtros strategijos parengimą ir programos "Vietos plėtros strategijos rengimo ir įgyvendinimo programa" įgyvendinimą</t>
  </si>
  <si>
    <t>Parengti bendrojo ir ikimokyklinio ugdymo įstaigų (skyrių) pastatų modernizavimo technines dokumentacijas</t>
  </si>
  <si>
    <t>Įsigyti tekstilės atliekų surinkimo konteinerius</t>
  </si>
  <si>
    <t>Parengti projektus hidrotechninių įrenginių atnaujinimui</t>
  </si>
  <si>
    <t>Vykdyti pacientų eilių valdymo sistemos palaikymo Kėdainių pirminės priežiūros centre 2022-2026 m. programą</t>
  </si>
  <si>
    <t>Vykdyti sveikatos priežiūros specialistų skatinimo dirbti VšĮ Kėdainių ligoninėje 2023-2028 m. programą</t>
  </si>
  <si>
    <t>Vykdyti VšĮ Kėdainių ligoninės sterilizacinės modernizavimo 2023-2028 m. programą</t>
  </si>
  <si>
    <t>Vykdyti tinkamų ir saugių darbo sąlygų užtikrinimo, įrengiant vėdinimo bei kondicionavimo sistemas VšĮ Kėdainių ligoninėje 2023-2028 m. programą "</t>
  </si>
  <si>
    <t xml:space="preserve">Vykdyti tinkamų ir saugių darbo sąlygų užtikrinimo, įrengiant vėdinimo bei kondicionavimo sistemas VšĮ Kėdainių  PSPC 2022-2026 m. programą  </t>
  </si>
  <si>
    <t>34.15</t>
  </si>
  <si>
    <t>34.16</t>
  </si>
  <si>
    <t>34.17</t>
  </si>
  <si>
    <t>34.18</t>
  </si>
  <si>
    <t>34.19</t>
  </si>
  <si>
    <t>34.20</t>
  </si>
  <si>
    <t>34.20.1</t>
  </si>
  <si>
    <t>34.20.2</t>
  </si>
  <si>
    <t>81.1</t>
  </si>
  <si>
    <t>81.1.1</t>
  </si>
  <si>
    <t>81.1.2</t>
  </si>
  <si>
    <t>81.1.3</t>
  </si>
  <si>
    <t>81.1.4</t>
  </si>
  <si>
    <t>81.1.5</t>
  </si>
  <si>
    <t>81.1.6</t>
  </si>
  <si>
    <t>81.1.7</t>
  </si>
  <si>
    <t>81.1.8</t>
  </si>
  <si>
    <t>81.1.9</t>
  </si>
  <si>
    <t>81.1.10</t>
  </si>
  <si>
    <t>81.1.11</t>
  </si>
  <si>
    <t>81.1.12</t>
  </si>
  <si>
    <t>81.1.13</t>
  </si>
  <si>
    <t>81.1.14</t>
  </si>
  <si>
    <t>81.1.15</t>
  </si>
  <si>
    <t>81.1.16</t>
  </si>
  <si>
    <t>81.1.17</t>
  </si>
  <si>
    <t>81.1.18</t>
  </si>
  <si>
    <t>81.1.19</t>
  </si>
  <si>
    <t>81.1.20</t>
  </si>
  <si>
    <t>81.1.21</t>
  </si>
  <si>
    <t>81.1.22</t>
  </si>
  <si>
    <t>81.1.23</t>
  </si>
  <si>
    <t>94.1</t>
  </si>
  <si>
    <t>94.2</t>
  </si>
  <si>
    <t>94.3</t>
  </si>
  <si>
    <t>94.4</t>
  </si>
  <si>
    <t>94.5</t>
  </si>
  <si>
    <t>94.6</t>
  </si>
  <si>
    <t>94.7</t>
  </si>
  <si>
    <t>94.8</t>
  </si>
  <si>
    <t>94.8.1</t>
  </si>
  <si>
    <t>94.8.2</t>
  </si>
  <si>
    <t>94.8.3</t>
  </si>
  <si>
    <t>107.1</t>
  </si>
  <si>
    <t>107.2</t>
  </si>
  <si>
    <t>107.2.1</t>
  </si>
  <si>
    <t>107.2.2</t>
  </si>
  <si>
    <t>107.2.3</t>
  </si>
  <si>
    <t>107.2.4</t>
  </si>
  <si>
    <t>107.2.5</t>
  </si>
  <si>
    <t>109.1</t>
  </si>
  <si>
    <t>109.2</t>
  </si>
  <si>
    <t>109.3</t>
  </si>
  <si>
    <t>113.1</t>
  </si>
  <si>
    <t>113.2</t>
  </si>
  <si>
    <t>113.3</t>
  </si>
  <si>
    <t>113.4</t>
  </si>
  <si>
    <t>113.5</t>
  </si>
  <si>
    <t>113.6</t>
  </si>
  <si>
    <t>113.7</t>
  </si>
  <si>
    <t>113.8</t>
  </si>
  <si>
    <t>113.9</t>
  </si>
  <si>
    <t>Vykdyti trūkstamos kvalifikacijos sveikatos priežiūros specialistų skatinimo VšĮ Kėdainių pirminės priežiūros centre  2023-2026 m. programą</t>
  </si>
  <si>
    <t xml:space="preserve">     valstybės biudžeto lėšos, skirtos savivaldybės administracijai  mokėti 20 proc. bazinės socialinės išmokos (BSĮ) neįgaliesiems</t>
  </si>
  <si>
    <t>Kita dotacija savivaldybės administracijai  mokėti 20 proc. bazinės socialinės išmokos (BSĮ) neįgaliesiems</t>
  </si>
  <si>
    <t xml:space="preserve">      valstybės biudžeto lėšos, skirtos 2023 metais būstams pritaikyti neįgaliesiems</t>
  </si>
  <si>
    <t>Kita dotaacija 2022 metais būstams pritaikyti neįgaliesiems</t>
  </si>
  <si>
    <t>03.8</t>
  </si>
  <si>
    <t>03.9</t>
  </si>
  <si>
    <t xml:space="preserve">      valstybės biudžeto lėšos, skirtos socialinių paslaugų šakos kolektyvinėje sutartyje nustatytiems įsipareigojimams igyvendinti</t>
  </si>
  <si>
    <t xml:space="preserve">       valstybės investicijų 2023 m. programoje numatytoms kapitalo investicijoms</t>
  </si>
  <si>
    <t>03.10</t>
  </si>
  <si>
    <t>Kita dotacija socialinių paslaugų šakos kolektyvinėje sutartyje nustatytiems įsipareigojimams igyvendinti</t>
  </si>
  <si>
    <t xml:space="preserve">Modernizuoti Kėdainių šviesiosios gimnazijos pastatą Kėdainiuose, Didžioji g. 60 </t>
  </si>
  <si>
    <t>Rekonstruoti Kėdainių rajono savivaldybės kultūros centro pastatą Kėdainiuose, J. Basanavičiaus g. 24</t>
  </si>
  <si>
    <t>Kita dotacija valstybės investicijų 2023 m. programoje numatytoms kapitalo investicijoms</t>
  </si>
  <si>
    <t>05.2</t>
  </si>
  <si>
    <t xml:space="preserve">Remontuoti Akademijos kultūros centrą </t>
  </si>
  <si>
    <t xml:space="preserve">      savivaldybės institucijos valdomiems vietinės reikšmės keliams</t>
  </si>
  <si>
    <t>16.11</t>
  </si>
  <si>
    <t>16.12</t>
  </si>
  <si>
    <t>16.13</t>
  </si>
  <si>
    <t>16.14</t>
  </si>
  <si>
    <t>16.15</t>
  </si>
  <si>
    <t xml:space="preserve">       lėšos, skirtos ugdyti ir pavėžėti į mokyklą ir atgal vaikus, atvykusius į Lietuvos Respubliką iš Ukrainos dėl Rusijos federacijos karinių veiksmų Ukrainoje</t>
  </si>
  <si>
    <t>16.16</t>
  </si>
  <si>
    <t>16.17</t>
  </si>
  <si>
    <t xml:space="preserve">     valstybės biudžeto lėšos, skirtos viešosios paskirties rekreacijai ir poilsiui skirtų valstybės miško žemės sklypų priežiūros, apsaugos ir tvarkymo darbams Kėdainių mieste</t>
  </si>
  <si>
    <t>16.18</t>
  </si>
  <si>
    <t>07.1</t>
  </si>
  <si>
    <t>Kita dotacija  savivaldybės institucijos valdomiems vietinės reikšmės keliams</t>
  </si>
  <si>
    <t>Kita dotacija ugdyti ir pavežėti į mokyklą ir atgal vaikus, atvykusius į Lietuvos Respubliką iš Ukrainos dėl Rusijos federacijos karinių veiksmų Ukrainoje</t>
  </si>
  <si>
    <t>01.3</t>
  </si>
  <si>
    <t>Kita dotacija viešosios paskirties rekreacijai ir poilsiui skirtų valstybės miško žemės sklypų priežiūros, apsaugos ir tvarkymo darbams Kėdainių mieste</t>
  </si>
  <si>
    <t>Atnaujinti Kėdainių Juozo Paukštelio progimnazijos sporto aikštyną</t>
  </si>
  <si>
    <t xml:space="preserve"> Kita dotacija 2023 metais švietimo įstaigų sporto aikštynų atnaujinimo programos įgyvendinimui</t>
  </si>
  <si>
    <t xml:space="preserve">      valstybės biudžeto lėšos, skirtos 2023 metais švietimo įstaigų sporto aikštynų atnaujinimo programos įgyvendinimui</t>
  </si>
  <si>
    <t>01.4</t>
  </si>
  <si>
    <t xml:space="preserve">     valstybės biudžeto lėšos, skirtos užtikrinti 2023 metais Lietuvos Respublikos piniginės socialinės paramos nepasiturintiems gyventojams įstatymo įgyvendinimą </t>
  </si>
  <si>
    <t xml:space="preserve">Kita dotacija užtikrinti 2023 metais Lietuvos Respublikos piniginės socialinės paramos nepasiturintiems gyventojams įstatymo įgyvendinimą </t>
  </si>
  <si>
    <t>Kita dotacija įgyvendinti valstybei nuosavybės taeise priklausančių žemės savininkų ir kitų naudotojų žemėje esančių melioracijos statinių rekonstravimo ir remonto darbus</t>
  </si>
  <si>
    <t xml:space="preserve">     kompensuoti savivaldybės patirtas išlaidas valdant nepaprastąją padėtį dėl užsieniečių, pasitraukusių iš Ukrainos dėl Rusijos federacijos karinių veiksmų Ukrainoje</t>
  </si>
  <si>
    <t xml:space="preserve"> Kita dotacija kompensuoti savivaldybės patirtas išlaidas valdant nepaprastąją padėtį dėl užsieniečių, pasitraukusių iš Ukrainos dėl Rusijos federacijos karinių veiksmų Ukrainoje</t>
  </si>
  <si>
    <t xml:space="preserve">     valstybės biudžeto lėšos, skirtos išlaidoms, susijusioms su savivaldybės mokyklų mokytojų, dirbančių pagal ikimokyklinio, priešmokyklinio, bendrojo ugdymo programas, personalo optimizavimu ir atnaujinimu</t>
  </si>
  <si>
    <t>Kita dotacija savivaldybės mokyklų mokytojų, dirbančių pagal ikimokyklinio, priešmokyklinio, bendrojo ugdymo programas, personalo optimizavimui ir atnaujinimui</t>
  </si>
  <si>
    <t>01.5</t>
  </si>
  <si>
    <t xml:space="preserve">      valstybės biudžeto lėšos, skirtos sutvarkyti naudotas padangas, kurių turėtojų nustatyti neįmanoma arba kurie neegzistuoja     </t>
  </si>
  <si>
    <t>Kita dotacija sutvarkyti naudotas padangas, kurių turėtojų nustatyti neįmanoma arba kurie neegzistuoja</t>
  </si>
  <si>
    <t xml:space="preserve">     valstybės biudžeto lėšos, skirtos sutvarkyti namų ūkiuose susidariusias asbesto atliekas</t>
  </si>
  <si>
    <t>Kita dotacija sutvarkyti namų ūkiuose susidariusias asbesto atliekas</t>
  </si>
  <si>
    <t>08.2</t>
  </si>
  <si>
    <t>08.3</t>
  </si>
  <si>
    <t>Kita dotacija įsigyti tekstilės atliekų surinkimo konteinerius</t>
  </si>
  <si>
    <t>08.4</t>
  </si>
  <si>
    <t>03.11</t>
  </si>
  <si>
    <t>16.19</t>
  </si>
  <si>
    <t>16.20</t>
  </si>
  <si>
    <t>16.21</t>
  </si>
  <si>
    <t>16.22</t>
  </si>
  <si>
    <t>16.23</t>
  </si>
  <si>
    <t>16.24</t>
  </si>
  <si>
    <t>16.25</t>
  </si>
  <si>
    <t xml:space="preserve">                                                        Kėdainių rajono savivaldybės tarybos</t>
  </si>
  <si>
    <t xml:space="preserve">     valstybei nuosavybės teise priklausančių žemės savininkų ir kitų naudotojų žemėje esančių melioracijos statinių rekonstravimo ir remonto darbams</t>
  </si>
  <si>
    <t>16.26</t>
  </si>
  <si>
    <t xml:space="preserve">     valstybės biudžeto lėšos, skirtos įsigyti tekstilės atliekų surinkimo konteinerius</t>
  </si>
  <si>
    <t>05.3</t>
  </si>
  <si>
    <t>Kita dotacija stiprinti bendruomenines veiklas savivaldybėje</t>
  </si>
  <si>
    <t>10.09.01.01</t>
  </si>
  <si>
    <t xml:space="preserve">      valstybės biudžeto lėšos, skirtos stiprinti bendruomeninę veiklą savivaldybėje įgyvendinant bandomąjį modelį</t>
  </si>
  <si>
    <t xml:space="preserve">Įgyvendinti projektą "Kėdainių miesto A. Kanapinsko, P. Lukšio, Mindaugo, Pavasario ir Žemaitės gatvių rekonstrukcija"     </t>
  </si>
  <si>
    <t xml:space="preserve">04.05.01.02 </t>
  </si>
  <si>
    <t>16.27</t>
  </si>
  <si>
    <t>16.28</t>
  </si>
  <si>
    <t xml:space="preserve">     valstybės biudžeto lėšos, skirtos išlaidoms, patirtoms teikiant socialinę paramą mokiniams pagal Lietuvos Respublikos socialinės paramos mokiniams įstatymą užsieniečiams, pasitraukusiems iš Ukrainos dėl Rusijos federacijos karinių veiksmų Urainoje</t>
  </si>
  <si>
    <t>16.29</t>
  </si>
  <si>
    <t>03.12</t>
  </si>
  <si>
    <t>16.30</t>
  </si>
  <si>
    <t xml:space="preserve">     valstybės biudžeto lėšos, skirtos socialinių paslaugų srities darbuotojų minimaliems pareiginės algos pastoviosios dalies koeficientams didinti</t>
  </si>
  <si>
    <t xml:space="preserve">     valstybės biudžeto lėšos, skirtos išlaidoms patirtoms teikiant paramą būstui išsinuomoti pagal Lietuvos Respublikos paramos būstui įsigyti ar išsinuomoti įstatymą užsieniečiams, pasitraukusiems iš Ukrainos dėl Rusijos federacijos karinių veiksmų Urainoje</t>
  </si>
  <si>
    <t>Kita dotacija socialinių paslaugų srities darbuotojų minimaliems pareiginės algos pastoviosios dalies koeficientams didinti</t>
  </si>
  <si>
    <t>16.31</t>
  </si>
  <si>
    <t>16.32</t>
  </si>
  <si>
    <t xml:space="preserve">      valstybės biudžeto lėšos, skirtos projektui „Kėdainių miesto viešosios inžinierinės infrastruktūros, svarbios verslui, atnaujinimas ir plėtra“ (LEZ gatvių projektas)</t>
  </si>
  <si>
    <t>Kita dotacija įgyvendinti projektą „Kėdainių miesto viešosios inžinierinės infrastruktūros, svarbios verslui, atnaujinimas ir plėtra“ (LEZ gatvių projektas)</t>
  </si>
  <si>
    <t>Kita dotacija investicinių žemės sklypų, iki kurių ribos ir (ar) kurių ribose įrengiama ir (ar) sutvarkoma infrastruktūra, projektui "Kėdainių miesto viešosios infrastruktūros, svarbios verslui, atnaujinimas ir plėtra" įgyvendinti</t>
  </si>
  <si>
    <t xml:space="preserve">    valstybės biudžeto lėšos, skirtos investicinių žemės sklypų, iki kurių ribos ir (ar) kurių ribose įrengiama ir (ar) sutvarkoma infrastruktūra, projektui „Kėdainių miesto viešosios inžinierinės infrastruktūros, svarbios verslui, atnaujinimas ir plėtra“</t>
  </si>
  <si>
    <t>03.13</t>
  </si>
  <si>
    <t xml:space="preserve"> Kita dotacija teikti socialinę paramą mokiniams pagal Lietuvos Respublikos socialinės paramos mokiniams įstatymą užsieniečiams, pasitraukusiems iš Ukrainos dėl Rusijos federacijos karinių veiksmų Urainoje</t>
  </si>
  <si>
    <t>Kita dotacija teikti paramą būstui išsinuomoti pagal Lietuvos Respublikos paramos būstui įsigyti ar išsinuomoti įstatymą užsieniečiams, pasitraukusiems iš Ukrainos dėl Rusijos federacijos karinių veiksmų Urainoje</t>
  </si>
  <si>
    <t>03.14</t>
  </si>
  <si>
    <t>03.15</t>
  </si>
  <si>
    <t>31.5.13</t>
  </si>
  <si>
    <t>31.5.14</t>
  </si>
  <si>
    <t>74.7.3</t>
  </si>
  <si>
    <t>55.6.3</t>
  </si>
  <si>
    <t>55.6.4</t>
  </si>
  <si>
    <t>10.3</t>
  </si>
  <si>
    <t xml:space="preserve">     valstybės biudžeto lėšos, skirtos išlaidoms patirtoms teikiant piniginę socialinę paramą vadovaujantis Lietuvos Respublikos piniginės socialinės paramos nepasiturintiems gyventojams įstatymu, užsieniečiams, pasitraukusiems iš Ukrainos dėl Rusijos federacijos karinių veiksmų Urainoje</t>
  </si>
  <si>
    <t>Kita dotacija  teikti piniginę socialinę paramą vadovaujantis Lietuvos Respublikos piniginės socialinės paramos nepasiturintiems gyventojams įstatymu, užsieniečiams, pasitraukusiems iš Ukrainos dėl Rusijos federacijos karinių veiksmų Urainoje</t>
  </si>
  <si>
    <t xml:space="preserve">                                                                              2023 m. birželio 23 d. sprendimo Nr. TS-</t>
  </si>
  <si>
    <t xml:space="preserve">                                                                2023 m. birželio 23 d. sprendimo Nr. TS-</t>
  </si>
  <si>
    <t xml:space="preserve">                                                                                  2023 m. birželio 23 d. sprendimo Nr. TS-</t>
  </si>
  <si>
    <t xml:space="preserve">                                                         2023 m. birželio 23 d. sprendimo Nr. TS-</t>
  </si>
  <si>
    <t xml:space="preserve">                                             2023 m. birželio 23 d. sprendimo Nr. 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</si>
</sst>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0.0_ ;\-0.0\ "/>
    <numFmt numFmtId="170" formatCode="#,##0.0_ ;\-#,##0.0\ "/>
    <numFmt numFmtId="171" formatCode="0.0;\-0.0;;"/>
  </numFmts>
  <fonts count="20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Calibri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0" fontId="7" fillId="0" borderId="0"/>
    <xf numFmtId="0" fontId="1" fillId="0" borderId="0"/>
    <xf numFmtId="0" fontId="7" fillId="0" borderId="0"/>
    <xf numFmtId="0" fontId="14" fillId="0" borderId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242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167" fontId="1" fillId="0" borderId="0" xfId="0" applyNumberFormat="1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1" fillId="0" borderId="2" xfId="0" applyNumberFormat="1" applyFont="1" applyBorder="1" applyAlignment="1">
      <alignment vertical="center"/>
    </xf>
    <xf numFmtId="167" fontId="1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68" fontId="1" fillId="0" borderId="1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168" fontId="1" fillId="0" borderId="1" xfId="0" applyNumberFormat="1" applyFont="1" applyBorder="1" applyAlignment="1">
      <alignment horizontal="right" vertical="center" wrapText="1"/>
    </xf>
    <xf numFmtId="168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vertical="center"/>
    </xf>
    <xf numFmtId="49" fontId="2" fillId="0" borderId="4" xfId="0" applyNumberFormat="1" applyFont="1" applyBorder="1" applyAlignment="1">
      <alignment horizontal="right" vertical="center"/>
    </xf>
    <xf numFmtId="168" fontId="1" fillId="0" borderId="0" xfId="0" applyNumberFormat="1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167" fontId="1" fillId="0" borderId="2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167" fontId="9" fillId="0" borderId="0" xfId="0" applyNumberFormat="1" applyFont="1"/>
    <xf numFmtId="0" fontId="3" fillId="0" borderId="0" xfId="0" applyFont="1"/>
    <xf numFmtId="168" fontId="2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168" fontId="1" fillId="0" borderId="1" xfId="20" applyNumberForma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167" fontId="2" fillId="0" borderId="1" xfId="0" applyNumberFormat="1" applyFont="1" applyBorder="1" applyAlignment="1">
      <alignment vertical="center" wrapText="1"/>
    </xf>
    <xf numFmtId="168" fontId="1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168" fontId="2" fillId="0" borderId="1" xfId="2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center"/>
    </xf>
    <xf numFmtId="168" fontId="6" fillId="0" borderId="1" xfId="0" applyNumberFormat="1" applyFont="1" applyBorder="1" applyAlignment="1">
      <alignment horizontal="right" vertical="center"/>
    </xf>
    <xf numFmtId="168" fontId="2" fillId="0" borderId="0" xfId="0" applyNumberFormat="1" applyFont="1" applyAlignment="1">
      <alignment horizontal="center" vertical="center" wrapText="1"/>
    </xf>
    <xf numFmtId="168" fontId="1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7" fillId="0" borderId="0" xfId="0" applyFont="1"/>
    <xf numFmtId="167" fontId="1" fillId="0" borderId="1" xfId="20" applyNumberFormat="1" applyBorder="1" applyAlignment="1">
      <alignment vertical="center" wrapText="1"/>
    </xf>
    <xf numFmtId="167" fontId="6" fillId="0" borderId="1" xfId="0" applyNumberFormat="1" applyFont="1" applyBorder="1" applyAlignment="1">
      <alignment vertical="center" wrapText="1"/>
    </xf>
    <xf numFmtId="49" fontId="1" fillId="0" borderId="1" xfId="20" applyNumberFormat="1" applyBorder="1" applyAlignment="1">
      <alignment horizontal="center" vertical="center"/>
    </xf>
    <xf numFmtId="49" fontId="1" fillId="0" borderId="1" xfId="18" applyNumberForma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7" fontId="15" fillId="0" borderId="0" xfId="0" applyNumberFormat="1" applyFont="1"/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right" vertical="center"/>
    </xf>
    <xf numFmtId="168" fontId="2" fillId="0" borderId="1" xfId="0" applyNumberFormat="1" applyFont="1" applyBorder="1"/>
    <xf numFmtId="168" fontId="2" fillId="0" borderId="1" xfId="0" applyNumberFormat="1" applyFont="1" applyBorder="1" applyAlignment="1">
      <alignment vertical="center"/>
    </xf>
    <xf numFmtId="18" fontId="1" fillId="0" borderId="0" xfId="0" applyNumberFormat="1" applyFont="1"/>
    <xf numFmtId="0" fontId="2" fillId="0" borderId="1" xfId="1" applyFont="1" applyBorder="1" applyAlignment="1">
      <alignment vertical="center" wrapText="1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vertical="center" wrapText="1"/>
    </xf>
    <xf numFmtId="1" fontId="1" fillId="0" borderId="0" xfId="0" applyNumberFormat="1" applyFont="1"/>
    <xf numFmtId="16" fontId="1" fillId="0" borderId="1" xfId="1" applyNumberFormat="1" applyFont="1" applyBorder="1" applyAlignment="1">
      <alignment horizontal="right" vertical="center"/>
    </xf>
    <xf numFmtId="168" fontId="15" fillId="0" borderId="0" xfId="0" applyNumberFormat="1" applyFont="1"/>
    <xf numFmtId="0" fontId="15" fillId="0" borderId="0" xfId="0" applyFont="1"/>
    <xf numFmtId="0" fontId="1" fillId="0" borderId="1" xfId="1" applyFont="1" applyBorder="1" applyAlignment="1">
      <alignment horizontal="left" vertical="center" wrapText="1"/>
    </xf>
    <xf numFmtId="168" fontId="16" fillId="0" borderId="1" xfId="0" applyNumberFormat="1" applyFont="1" applyBorder="1" applyAlignment="1">
      <alignment vertical="center"/>
    </xf>
    <xf numFmtId="168" fontId="1" fillId="0" borderId="1" xfId="0" applyNumberFormat="1" applyFont="1" applyBorder="1"/>
    <xf numFmtId="49" fontId="1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1" applyFont="1" applyBorder="1" applyAlignment="1">
      <alignment horizontal="justify" vertical="center" wrapText="1"/>
    </xf>
    <xf numFmtId="0" fontId="2" fillId="0" borderId="1" xfId="1" applyFont="1" applyBorder="1" applyAlignment="1">
      <alignment horizontal="right" vertical="center"/>
    </xf>
    <xf numFmtId="167" fontId="11" fillId="0" borderId="0" xfId="0" applyNumberFormat="1" applyFont="1"/>
    <xf numFmtId="168" fontId="18" fillId="0" borderId="0" xfId="0" applyNumberFormat="1" applyFont="1" applyAlignment="1">
      <alignment vertical="center"/>
    </xf>
    <xf numFmtId="168" fontId="18" fillId="0" borderId="0" xfId="0" applyNumberFormat="1" applyFont="1"/>
    <xf numFmtId="167" fontId="1" fillId="0" borderId="0" xfId="0" applyNumberFormat="1" applyFont="1" applyAlignment="1">
      <alignment vertical="center" wrapText="1"/>
    </xf>
    <xf numFmtId="168" fontId="2" fillId="0" borderId="1" xfId="1" applyNumberFormat="1" applyFont="1" applyBorder="1" applyAlignment="1">
      <alignment vertical="center"/>
    </xf>
    <xf numFmtId="0" fontId="1" fillId="0" borderId="0" xfId="1" applyFont="1" applyAlignment="1">
      <alignment horizontal="right"/>
    </xf>
    <xf numFmtId="168" fontId="2" fillId="0" borderId="0" xfId="1" applyNumberFormat="1" applyFont="1"/>
    <xf numFmtId="168" fontId="17" fillId="0" borderId="0" xfId="0" applyNumberFormat="1" applyFont="1"/>
    <xf numFmtId="167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167" fontId="1" fillId="0" borderId="1" xfId="20" applyNumberForma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 applyAlignment="1">
      <alignment vertical="center" wrapText="1"/>
    </xf>
    <xf numFmtId="168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" fillId="0" borderId="1" xfId="18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center" wrapText="1"/>
    </xf>
    <xf numFmtId="0" fontId="1" fillId="0" borderId="6" xfId="18" applyBorder="1" applyAlignment="1">
      <alignment vertical="center" wrapText="1"/>
    </xf>
    <xf numFmtId="168" fontId="1" fillId="0" borderId="6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7" fontId="1" fillId="0" borderId="1" xfId="20" applyNumberFormat="1" applyBorder="1" applyAlignment="1">
      <alignment vertical="center"/>
    </xf>
    <xf numFmtId="49" fontId="1" fillId="0" borderId="1" xfId="20" applyNumberFormat="1" applyBorder="1" applyAlignment="1">
      <alignment horizontal="center" vertical="center" wrapText="1"/>
    </xf>
    <xf numFmtId="168" fontId="2" fillId="0" borderId="1" xfId="20" applyNumberFormat="1" applyFont="1" applyBorder="1" applyAlignment="1">
      <alignment horizontal="right" vertical="center"/>
    </xf>
    <xf numFmtId="0" fontId="6" fillId="0" borderId="1" xfId="18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2" fillId="0" borderId="1" xfId="2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9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168" fontId="1" fillId="0" borderId="1" xfId="20" applyNumberFormat="1" applyBorder="1" applyAlignment="1">
      <alignment horizontal="center" vertical="center"/>
    </xf>
    <xf numFmtId="167" fontId="9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1" fillId="0" borderId="0" xfId="0" applyNumberFormat="1" applyFont="1" applyAlignment="1">
      <alignment horizontal="left"/>
    </xf>
    <xf numFmtId="168" fontId="6" fillId="0" borderId="1" xfId="0" applyNumberFormat="1" applyFont="1" applyBorder="1" applyAlignment="1">
      <alignment horizontal="right" vertical="center" wrapText="1"/>
    </xf>
    <xf numFmtId="167" fontId="12" fillId="0" borderId="0" xfId="0" applyNumberFormat="1" applyFont="1"/>
    <xf numFmtId="0" fontId="1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3" fillId="0" borderId="0" xfId="1" applyFont="1" applyAlignment="1">
      <alignment horizontal="right"/>
    </xf>
    <xf numFmtId="0" fontId="3" fillId="0" borderId="0" xfId="1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right" vertical="center"/>
    </xf>
    <xf numFmtId="49" fontId="9" fillId="0" borderId="7" xfId="0" applyNumberFormat="1" applyFont="1" applyBorder="1" applyAlignment="1">
      <alignment horizontal="right" vertical="center"/>
    </xf>
    <xf numFmtId="49" fontId="9" fillId="0" borderId="6" xfId="0" applyNumberFormat="1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167" fontId="1" fillId="0" borderId="0" xfId="0" applyNumberFormat="1" applyFont="1" applyFill="1"/>
    <xf numFmtId="0" fontId="1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67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168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68" fontId="6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168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horizontal="left" vertical="center" wrapText="1"/>
    </xf>
    <xf numFmtId="167" fontId="1" fillId="0" borderId="1" xfId="0" applyNumberFormat="1" applyFont="1" applyFill="1" applyBorder="1" applyAlignment="1">
      <alignment vertical="center" wrapText="1"/>
    </xf>
    <xf numFmtId="167" fontId="6" fillId="0" borderId="1" xfId="0" applyNumberFormat="1" applyFont="1" applyFill="1" applyBorder="1" applyAlignment="1">
      <alignment vertical="center" wrapText="1"/>
    </xf>
    <xf numFmtId="167" fontId="1" fillId="0" borderId="2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167" fontId="1" fillId="0" borderId="2" xfId="0" applyNumberFormat="1" applyFont="1" applyFill="1" applyBorder="1" applyAlignment="1">
      <alignment vertical="center" wrapText="1"/>
    </xf>
    <xf numFmtId="167" fontId="1" fillId="0" borderId="1" xfId="0" applyNumberFormat="1" applyFont="1" applyFill="1" applyBorder="1" applyAlignment="1">
      <alignment horizontal="right"/>
    </xf>
    <xf numFmtId="49" fontId="1" fillId="0" borderId="3" xfId="0" applyNumberFormat="1" applyFont="1" applyFill="1" applyBorder="1" applyAlignment="1">
      <alignment horizontal="center" vertical="center" wrapText="1"/>
    </xf>
    <xf numFmtId="167" fontId="1" fillId="0" borderId="1" xfId="19" applyNumberFormat="1" applyFill="1" applyBorder="1" applyAlignment="1">
      <alignment vertical="center" wrapText="1"/>
    </xf>
    <xf numFmtId="167" fontId="6" fillId="0" borderId="1" xfId="19" applyNumberFormat="1" applyFont="1" applyFill="1" applyBorder="1" applyAlignment="1">
      <alignment vertical="center" wrapText="1"/>
    </xf>
    <xf numFmtId="167" fontId="6" fillId="0" borderId="1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right"/>
    </xf>
    <xf numFmtId="167" fontId="1" fillId="0" borderId="1" xfId="0" applyNumberFormat="1" applyFont="1" applyFill="1" applyBorder="1" applyAlignment="1">
      <alignment vertical="center"/>
    </xf>
    <xf numFmtId="169" fontId="1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168" fontId="2" fillId="0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20" applyNumberFormat="1" applyFill="1" applyBorder="1" applyAlignment="1">
      <alignment horizontal="center" vertical="center"/>
    </xf>
    <xf numFmtId="167" fontId="1" fillId="0" borderId="1" xfId="20" applyNumberForma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7" fontId="15" fillId="0" borderId="0" xfId="0" applyNumberFormat="1" applyFont="1" applyFill="1"/>
    <xf numFmtId="0" fontId="1" fillId="0" borderId="0" xfId="0" applyFont="1" applyFill="1" applyAlignment="1">
      <alignment wrapText="1"/>
    </xf>
    <xf numFmtId="167" fontId="1" fillId="0" borderId="1" xfId="20" applyNumberFormat="1" applyFill="1" applyBorder="1" applyAlignment="1">
      <alignment vertical="center"/>
    </xf>
    <xf numFmtId="171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vertical="center" wrapText="1"/>
    </xf>
    <xf numFmtId="167" fontId="6" fillId="0" borderId="1" xfId="0" applyNumberFormat="1" applyFont="1" applyFill="1" applyBorder="1" applyAlignment="1">
      <alignment horizontal="left" vertical="center" wrapText="1"/>
    </xf>
    <xf numFmtId="168" fontId="1" fillId="0" borderId="0" xfId="0" applyNumberFormat="1" applyFont="1" applyFill="1"/>
    <xf numFmtId="49" fontId="1" fillId="0" borderId="1" xfId="18" applyNumberForma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right" vertical="center"/>
    </xf>
    <xf numFmtId="167" fontId="1" fillId="0" borderId="0" xfId="0" applyNumberFormat="1" applyFont="1" applyFill="1" applyAlignment="1">
      <alignment horizontal="right" vertical="center"/>
    </xf>
    <xf numFmtId="0" fontId="1" fillId="0" borderId="0" xfId="1" applyFont="1" applyFill="1" applyAlignment="1">
      <alignment vertical="center" wrapText="1"/>
    </xf>
    <xf numFmtId="168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left" vertical="center" wrapText="1"/>
    </xf>
    <xf numFmtId="167" fontId="6" fillId="0" borderId="0" xfId="0" applyNumberFormat="1" applyFont="1" applyFill="1" applyAlignment="1">
      <alignment horizontal="left" vertical="center" wrapText="1"/>
    </xf>
    <xf numFmtId="167" fontId="6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</cellXfs>
  <cellStyles count="22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  <cellStyle name="Įprastas 5" xfId="4" xr:uid="{00000000-0005-0000-0000-000004000000}"/>
    <cellStyle name="Kablelis 2" xfId="5" xr:uid="{00000000-0005-0000-0000-000005000000}"/>
    <cellStyle name="Kablelis 2 2" xfId="6" xr:uid="{00000000-0005-0000-0000-000006000000}"/>
    <cellStyle name="Kablelis 2 2 2" xfId="7" xr:uid="{00000000-0005-0000-0000-000007000000}"/>
    <cellStyle name="Kablelis 3" xfId="8" xr:uid="{00000000-0005-0000-0000-000008000000}"/>
    <cellStyle name="Kablelis 4" xfId="9" xr:uid="{00000000-0005-0000-0000-000009000000}"/>
    <cellStyle name="Kablelis 4 2" xfId="10" xr:uid="{00000000-0005-0000-0000-00000A000000}"/>
    <cellStyle name="Kablelis 4 3" xfId="11" xr:uid="{00000000-0005-0000-0000-00000B000000}"/>
    <cellStyle name="Kablelis 4 3 2" xfId="12" xr:uid="{00000000-0005-0000-0000-00000C000000}"/>
    <cellStyle name="Kablelis 5" xfId="13" xr:uid="{00000000-0005-0000-0000-00000D000000}"/>
    <cellStyle name="Kablelis 5 2" xfId="14" xr:uid="{00000000-0005-0000-0000-00000E000000}"/>
    <cellStyle name="Normal 2" xfId="15" xr:uid="{00000000-0005-0000-0000-00000F000000}"/>
    <cellStyle name="Normal 3" xfId="16" xr:uid="{00000000-0005-0000-0000-000010000000}"/>
    <cellStyle name="Normal_biudžetas 6" xfId="17" xr:uid="{00000000-0005-0000-0000-000011000000}"/>
    <cellStyle name="Normal_biudžetas 6_2009 m 02 men biudzetas." xfId="18" xr:uid="{00000000-0005-0000-0000-000012000000}"/>
    <cellStyle name="Normal_Sheet1" xfId="19" xr:uid="{00000000-0005-0000-0000-000013000000}"/>
    <cellStyle name="Normal_Sheet1_2009 m 02 men biudzetas." xfId="20" xr:uid="{00000000-0005-0000-0000-000014000000}"/>
    <cellStyle name="Paprastas 2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0"/>
  <sheetViews>
    <sheetView zoomScaleNormal="100" workbookViewId="0"/>
  </sheetViews>
  <sheetFormatPr defaultColWidth="9.140625" defaultRowHeight="12.75" x14ac:dyDescent="0.2"/>
  <cols>
    <col min="1" max="1" width="6.28515625" style="3" customWidth="1"/>
    <col min="2" max="2" width="69.28515625" style="2" customWidth="1"/>
    <col min="3" max="3" width="14.5703125" style="2" bestFit="1" customWidth="1"/>
    <col min="4" max="4" width="9.28515625" style="2" customWidth="1"/>
    <col min="5" max="5" width="11.7109375" style="2" bestFit="1" customWidth="1"/>
    <col min="6" max="6" width="15.140625" style="2" customWidth="1"/>
    <col min="7" max="16384" width="9.140625" style="2"/>
  </cols>
  <sheetData>
    <row r="1" spans="1:15" ht="15.75" x14ac:dyDescent="0.25">
      <c r="A1" s="69"/>
      <c r="B1" s="143" t="s">
        <v>325</v>
      </c>
      <c r="C1" s="143"/>
    </row>
    <row r="2" spans="1:15" ht="15.75" x14ac:dyDescent="0.25">
      <c r="A2" s="69"/>
      <c r="B2" s="144" t="s">
        <v>794</v>
      </c>
      <c r="C2" s="144"/>
    </row>
    <row r="3" spans="1:15" ht="15.75" x14ac:dyDescent="0.25">
      <c r="A3" s="142" t="s">
        <v>276</v>
      </c>
      <c r="B3" s="142"/>
      <c r="C3" s="142"/>
    </row>
    <row r="4" spans="1:15" ht="15.75" x14ac:dyDescent="0.25">
      <c r="A4" s="71"/>
      <c r="B4" s="70"/>
      <c r="C4" s="70"/>
    </row>
    <row r="5" spans="1:15" x14ac:dyDescent="0.2">
      <c r="A5" s="69"/>
      <c r="B5" s="72" t="s">
        <v>413</v>
      </c>
      <c r="C5" s="73"/>
    </row>
    <row r="6" spans="1:15" x14ac:dyDescent="0.2">
      <c r="A6" s="69"/>
      <c r="B6" s="73"/>
      <c r="C6" s="73"/>
    </row>
    <row r="7" spans="1:15" s="3" customFormat="1" x14ac:dyDescent="0.2">
      <c r="A7" s="74" t="s">
        <v>0</v>
      </c>
      <c r="B7" s="75" t="s">
        <v>277</v>
      </c>
      <c r="C7" s="75" t="s">
        <v>278</v>
      </c>
    </row>
    <row r="8" spans="1:15" ht="12.6" customHeight="1" x14ac:dyDescent="0.2">
      <c r="A8" s="76">
        <v>1</v>
      </c>
      <c r="B8" s="74" t="s">
        <v>356</v>
      </c>
      <c r="C8" s="77">
        <f>+C9+C10+C11+C15</f>
        <v>42384</v>
      </c>
      <c r="E8" s="4"/>
      <c r="G8" s="59"/>
    </row>
    <row r="9" spans="1:15" ht="12.6" customHeight="1" x14ac:dyDescent="0.2">
      <c r="A9" s="76">
        <v>2</v>
      </c>
      <c r="B9" s="74" t="s">
        <v>279</v>
      </c>
      <c r="C9" s="78">
        <v>39669</v>
      </c>
      <c r="D9" s="79"/>
      <c r="E9" s="59"/>
      <c r="G9" s="59"/>
    </row>
    <row r="10" spans="1:15" ht="25.5" x14ac:dyDescent="0.2">
      <c r="A10" s="76">
        <v>3</v>
      </c>
      <c r="B10" s="80" t="s">
        <v>357</v>
      </c>
      <c r="C10" s="78">
        <v>50</v>
      </c>
      <c r="D10" s="79"/>
      <c r="E10" s="59"/>
      <c r="F10" s="60"/>
    </row>
    <row r="11" spans="1:15" ht="12.6" customHeight="1" x14ac:dyDescent="0.2">
      <c r="A11" s="76">
        <v>4</v>
      </c>
      <c r="B11" s="74" t="s">
        <v>358</v>
      </c>
      <c r="C11" s="78">
        <f>+C12+C14+C13</f>
        <v>2415</v>
      </c>
      <c r="D11" s="79"/>
      <c r="F11" s="60"/>
      <c r="G11" s="59"/>
    </row>
    <row r="12" spans="1:15" ht="12.6" customHeight="1" x14ac:dyDescent="0.2">
      <c r="A12" s="76">
        <v>5</v>
      </c>
      <c r="B12" s="81" t="s">
        <v>280</v>
      </c>
      <c r="C12" s="25">
        <v>900</v>
      </c>
      <c r="D12" s="4"/>
      <c r="F12" s="61"/>
      <c r="G12" s="59"/>
    </row>
    <row r="13" spans="1:15" ht="12.6" customHeight="1" x14ac:dyDescent="0.2">
      <c r="A13" s="76">
        <v>6</v>
      </c>
      <c r="B13" s="81" t="s">
        <v>281</v>
      </c>
      <c r="C13" s="25">
        <v>15</v>
      </c>
      <c r="D13" s="4"/>
      <c r="F13" s="61"/>
    </row>
    <row r="14" spans="1:15" ht="12.6" customHeight="1" x14ac:dyDescent="0.2">
      <c r="A14" s="76">
        <v>7</v>
      </c>
      <c r="B14" s="81" t="s">
        <v>282</v>
      </c>
      <c r="C14" s="25">
        <v>1500</v>
      </c>
      <c r="D14" s="4"/>
      <c r="F14" s="60"/>
      <c r="O14" s="4"/>
    </row>
    <row r="15" spans="1:15" ht="12.6" customHeight="1" x14ac:dyDescent="0.2">
      <c r="A15" s="76">
        <v>8</v>
      </c>
      <c r="B15" s="74" t="s">
        <v>359</v>
      </c>
      <c r="C15" s="77">
        <f>+C16</f>
        <v>250</v>
      </c>
      <c r="D15" s="79"/>
    </row>
    <row r="16" spans="1:15" ht="12.6" customHeight="1" x14ac:dyDescent="0.2">
      <c r="A16" s="76">
        <v>9</v>
      </c>
      <c r="B16" s="81" t="s">
        <v>283</v>
      </c>
      <c r="C16" s="25">
        <v>250</v>
      </c>
    </row>
    <row r="17" spans="1:8" x14ac:dyDescent="0.2">
      <c r="A17" s="76">
        <v>10</v>
      </c>
      <c r="B17" s="74" t="s">
        <v>360</v>
      </c>
      <c r="C17" s="77">
        <f>+C21+C49+C18</f>
        <v>38608.400000000001</v>
      </c>
      <c r="D17" s="4"/>
    </row>
    <row r="18" spans="1:8" ht="25.5" x14ac:dyDescent="0.2">
      <c r="A18" s="76">
        <v>11</v>
      </c>
      <c r="B18" s="80" t="s">
        <v>361</v>
      </c>
      <c r="C18" s="77">
        <f>+C19+C20</f>
        <v>1937.5</v>
      </c>
      <c r="D18" s="4"/>
    </row>
    <row r="19" spans="1:8" ht="25.5" x14ac:dyDescent="0.2">
      <c r="A19" s="76" t="s">
        <v>34</v>
      </c>
      <c r="B19" s="82" t="s">
        <v>284</v>
      </c>
      <c r="C19" s="25">
        <f>1941.5-213.2+58.7</f>
        <v>1787</v>
      </c>
      <c r="D19" s="4"/>
      <c r="E19" s="68"/>
      <c r="F19" s="79"/>
      <c r="G19" s="2" t="s">
        <v>345</v>
      </c>
      <c r="H19" s="59"/>
    </row>
    <row r="20" spans="1:8" ht="25.5" x14ac:dyDescent="0.2">
      <c r="A20" s="76" t="s">
        <v>35</v>
      </c>
      <c r="B20" s="82" t="s">
        <v>285</v>
      </c>
      <c r="C20" s="25">
        <f>38.1-0.4+112.8</f>
        <v>150.5</v>
      </c>
      <c r="D20" s="4"/>
      <c r="E20" s="79"/>
      <c r="F20" s="79"/>
      <c r="H20" s="59"/>
    </row>
    <row r="21" spans="1:8" ht="12.6" customHeight="1" x14ac:dyDescent="0.2">
      <c r="A21" s="76">
        <v>12</v>
      </c>
      <c r="B21" s="74" t="s">
        <v>362</v>
      </c>
      <c r="C21" s="78">
        <f>+C22+C46+C47</f>
        <v>25248</v>
      </c>
      <c r="D21" s="4"/>
    </row>
    <row r="22" spans="1:8" ht="12.6" customHeight="1" x14ac:dyDescent="0.2">
      <c r="A22" s="76">
        <v>13</v>
      </c>
      <c r="B22" s="81" t="s">
        <v>363</v>
      </c>
      <c r="C22" s="25">
        <f>SUM(C23:C45)</f>
        <v>5824.9999999999982</v>
      </c>
      <c r="D22" s="4"/>
      <c r="E22" s="79"/>
      <c r="F22" s="83"/>
    </row>
    <row r="23" spans="1:8" ht="12.6" customHeight="1" x14ac:dyDescent="0.2">
      <c r="A23" s="84" t="s">
        <v>264</v>
      </c>
      <c r="B23" s="81" t="s">
        <v>286</v>
      </c>
      <c r="C23" s="25">
        <v>32.6</v>
      </c>
      <c r="D23" s="4"/>
      <c r="E23" s="79"/>
      <c r="G23" s="4"/>
    </row>
    <row r="24" spans="1:8" ht="12.6" customHeight="1" x14ac:dyDescent="0.2">
      <c r="A24" s="76" t="s">
        <v>364</v>
      </c>
      <c r="B24" s="81" t="s">
        <v>287</v>
      </c>
      <c r="C24" s="25">
        <v>9</v>
      </c>
      <c r="D24" s="4"/>
      <c r="E24" s="79"/>
      <c r="G24" s="4"/>
    </row>
    <row r="25" spans="1:8" ht="12.6" customHeight="1" x14ac:dyDescent="0.2">
      <c r="A25" s="84" t="s">
        <v>365</v>
      </c>
      <c r="B25" s="81" t="s">
        <v>288</v>
      </c>
      <c r="C25" s="25">
        <v>398.5</v>
      </c>
      <c r="E25" s="68"/>
      <c r="F25" s="85"/>
      <c r="G25" s="4"/>
    </row>
    <row r="26" spans="1:8" ht="12.6" customHeight="1" x14ac:dyDescent="0.2">
      <c r="A26" s="76" t="s">
        <v>366</v>
      </c>
      <c r="B26" s="81" t="s">
        <v>289</v>
      </c>
      <c r="C26" s="25">
        <v>947.6</v>
      </c>
      <c r="E26" s="68"/>
    </row>
    <row r="27" spans="1:8" ht="12.6" customHeight="1" x14ac:dyDescent="0.2">
      <c r="A27" s="84" t="s">
        <v>367</v>
      </c>
      <c r="B27" s="81" t="s">
        <v>290</v>
      </c>
      <c r="C27" s="25">
        <v>1658.1</v>
      </c>
      <c r="D27" s="4"/>
      <c r="E27" s="4"/>
      <c r="F27" s="86"/>
      <c r="G27" s="4"/>
    </row>
    <row r="28" spans="1:8" x14ac:dyDescent="0.2">
      <c r="A28" s="76" t="s">
        <v>368</v>
      </c>
      <c r="B28" s="81" t="s">
        <v>291</v>
      </c>
      <c r="C28" s="25">
        <v>19.5</v>
      </c>
      <c r="D28" s="4"/>
    </row>
    <row r="29" spans="1:8" x14ac:dyDescent="0.2">
      <c r="A29" s="84" t="s">
        <v>369</v>
      </c>
      <c r="B29" s="82" t="s">
        <v>292</v>
      </c>
      <c r="C29" s="25">
        <f>11.1+2</f>
        <v>13.1</v>
      </c>
      <c r="D29" s="4"/>
      <c r="E29" s="83"/>
    </row>
    <row r="30" spans="1:8" ht="12.6" customHeight="1" x14ac:dyDescent="0.2">
      <c r="A30" s="76" t="s">
        <v>370</v>
      </c>
      <c r="B30" s="87" t="s">
        <v>532</v>
      </c>
      <c r="C30" s="25">
        <v>190.1</v>
      </c>
      <c r="D30" s="4"/>
    </row>
    <row r="31" spans="1:8" ht="12.6" customHeight="1" x14ac:dyDescent="0.2">
      <c r="A31" s="84" t="s">
        <v>371</v>
      </c>
      <c r="B31" s="87" t="s">
        <v>293</v>
      </c>
      <c r="C31" s="25">
        <v>35.5</v>
      </c>
      <c r="D31" s="4"/>
    </row>
    <row r="32" spans="1:8" ht="12.6" customHeight="1" x14ac:dyDescent="0.2">
      <c r="A32" s="76" t="s">
        <v>372</v>
      </c>
      <c r="B32" s="87" t="s">
        <v>534</v>
      </c>
      <c r="C32" s="25">
        <v>12.2</v>
      </c>
      <c r="D32" s="4"/>
    </row>
    <row r="33" spans="1:7" ht="12.6" customHeight="1" x14ac:dyDescent="0.2">
      <c r="A33" s="84" t="s">
        <v>373</v>
      </c>
      <c r="B33" s="87" t="s">
        <v>294</v>
      </c>
      <c r="C33" s="25">
        <v>0.8</v>
      </c>
      <c r="D33" s="4"/>
    </row>
    <row r="34" spans="1:7" ht="12.6" customHeight="1" x14ac:dyDescent="0.2">
      <c r="A34" s="76" t="s">
        <v>374</v>
      </c>
      <c r="B34" s="87" t="s">
        <v>295</v>
      </c>
      <c r="C34" s="25">
        <v>57.8</v>
      </c>
      <c r="D34" s="4"/>
    </row>
    <row r="35" spans="1:7" x14ac:dyDescent="0.2">
      <c r="A35" s="84" t="s">
        <v>375</v>
      </c>
      <c r="B35" s="87" t="s">
        <v>296</v>
      </c>
      <c r="C35" s="25">
        <v>1234.5999999999999</v>
      </c>
      <c r="D35" s="4"/>
    </row>
    <row r="36" spans="1:7" ht="25.5" x14ac:dyDescent="0.2">
      <c r="A36" s="76" t="s">
        <v>376</v>
      </c>
      <c r="B36" s="87" t="s">
        <v>535</v>
      </c>
      <c r="C36" s="25">
        <v>5</v>
      </c>
      <c r="D36" s="4"/>
    </row>
    <row r="37" spans="1:7" ht="12.6" customHeight="1" x14ac:dyDescent="0.2">
      <c r="A37" s="84" t="s">
        <v>377</v>
      </c>
      <c r="B37" s="87" t="s">
        <v>297</v>
      </c>
      <c r="C37" s="25">
        <v>254.8</v>
      </c>
      <c r="D37" s="4"/>
    </row>
    <row r="38" spans="1:7" ht="12.6" customHeight="1" x14ac:dyDescent="0.2">
      <c r="A38" s="76" t="s">
        <v>378</v>
      </c>
      <c r="B38" s="81" t="s">
        <v>298</v>
      </c>
      <c r="C38" s="25">
        <v>360</v>
      </c>
      <c r="D38" s="4"/>
    </row>
    <row r="39" spans="1:7" ht="12.6" customHeight="1" x14ac:dyDescent="0.2">
      <c r="A39" s="84" t="s">
        <v>379</v>
      </c>
      <c r="B39" s="81" t="s">
        <v>536</v>
      </c>
      <c r="C39" s="88">
        <v>19.899999999999999</v>
      </c>
      <c r="D39" s="4"/>
    </row>
    <row r="40" spans="1:7" ht="12.6" customHeight="1" x14ac:dyDescent="0.2">
      <c r="A40" s="84" t="s">
        <v>380</v>
      </c>
      <c r="B40" s="81" t="s">
        <v>299</v>
      </c>
      <c r="C40" s="25">
        <v>47.9</v>
      </c>
      <c r="D40" s="4"/>
    </row>
    <row r="41" spans="1:7" ht="12.6" customHeight="1" x14ac:dyDescent="0.2">
      <c r="A41" s="84" t="s">
        <v>381</v>
      </c>
      <c r="B41" s="82" t="s">
        <v>537</v>
      </c>
      <c r="C41" s="25">
        <v>1.2</v>
      </c>
      <c r="D41" s="4"/>
    </row>
    <row r="42" spans="1:7" x14ac:dyDescent="0.2">
      <c r="A42" s="76" t="s">
        <v>382</v>
      </c>
      <c r="B42" s="82" t="s">
        <v>384</v>
      </c>
      <c r="C42" s="25">
        <v>416.4</v>
      </c>
      <c r="D42" s="4"/>
    </row>
    <row r="43" spans="1:7" ht="15.75" customHeight="1" x14ac:dyDescent="0.2">
      <c r="A43" s="84" t="s">
        <v>383</v>
      </c>
      <c r="B43" s="82" t="s">
        <v>300</v>
      </c>
      <c r="C43" s="25">
        <v>1.8</v>
      </c>
      <c r="D43" s="4"/>
    </row>
    <row r="44" spans="1:7" ht="12.75" customHeight="1" x14ac:dyDescent="0.2">
      <c r="A44" s="76" t="s">
        <v>385</v>
      </c>
      <c r="B44" s="82" t="s">
        <v>539</v>
      </c>
      <c r="C44" s="25">
        <v>88.4</v>
      </c>
      <c r="D44" s="4"/>
    </row>
    <row r="45" spans="1:7" ht="26.25" customHeight="1" x14ac:dyDescent="0.2">
      <c r="A45" s="84" t="s">
        <v>386</v>
      </c>
      <c r="B45" s="82" t="s">
        <v>541</v>
      </c>
      <c r="C45" s="25">
        <v>20.2</v>
      </c>
      <c r="D45" s="4"/>
    </row>
    <row r="46" spans="1:7" x14ac:dyDescent="0.2">
      <c r="A46" s="76">
        <v>14</v>
      </c>
      <c r="B46" s="81" t="s">
        <v>387</v>
      </c>
      <c r="C46" s="25">
        <f>18397.8+336.8</f>
        <v>18734.599999999999</v>
      </c>
      <c r="D46" s="4"/>
      <c r="E46" s="79"/>
      <c r="F46" s="83"/>
      <c r="G46" s="4"/>
    </row>
    <row r="47" spans="1:7" ht="12.6" customHeight="1" x14ac:dyDescent="0.2">
      <c r="A47" s="76">
        <v>15</v>
      </c>
      <c r="B47" s="81" t="s">
        <v>301</v>
      </c>
      <c r="C47" s="89">
        <f>+C48</f>
        <v>688.4</v>
      </c>
      <c r="D47" s="4"/>
      <c r="E47" s="79"/>
      <c r="F47" s="83"/>
      <c r="G47" s="4"/>
    </row>
    <row r="48" spans="1:7" ht="12.6" customHeight="1" x14ac:dyDescent="0.2">
      <c r="A48" s="90" t="s">
        <v>177</v>
      </c>
      <c r="B48" s="82" t="s">
        <v>302</v>
      </c>
      <c r="C48" s="25">
        <v>688.4</v>
      </c>
      <c r="D48" s="4"/>
      <c r="F48" s="83"/>
      <c r="G48" s="4"/>
    </row>
    <row r="49" spans="1:14" ht="12.6" customHeight="1" x14ac:dyDescent="0.2">
      <c r="A49" s="76">
        <v>16</v>
      </c>
      <c r="B49" s="74" t="s">
        <v>303</v>
      </c>
      <c r="C49" s="78">
        <f>SUM(C50:C81)</f>
        <v>11422.9</v>
      </c>
      <c r="D49" s="4"/>
      <c r="E49" s="4"/>
    </row>
    <row r="50" spans="1:14" ht="12.6" customHeight="1" x14ac:dyDescent="0.2">
      <c r="A50" s="76" t="s">
        <v>327</v>
      </c>
      <c r="B50" s="81" t="s">
        <v>611</v>
      </c>
      <c r="C50" s="25">
        <v>261.60000000000002</v>
      </c>
      <c r="D50" s="4"/>
      <c r="E50" s="4"/>
    </row>
    <row r="51" spans="1:14" x14ac:dyDescent="0.2">
      <c r="A51" s="76" t="s">
        <v>547</v>
      </c>
      <c r="B51" s="82" t="s">
        <v>587</v>
      </c>
      <c r="C51" s="25">
        <v>24.7</v>
      </c>
      <c r="E51" s="4"/>
    </row>
    <row r="52" spans="1:14" ht="25.5" x14ac:dyDescent="0.2">
      <c r="A52" s="76" t="s">
        <v>548</v>
      </c>
      <c r="B52" s="82" t="s">
        <v>586</v>
      </c>
      <c r="C52" s="25">
        <v>160.69999999999999</v>
      </c>
      <c r="D52" s="4"/>
      <c r="E52" s="4"/>
    </row>
    <row r="53" spans="1:14" ht="25.5" x14ac:dyDescent="0.2">
      <c r="A53" s="76" t="s">
        <v>566</v>
      </c>
      <c r="B53" s="82" t="s">
        <v>549</v>
      </c>
      <c r="C53" s="25">
        <v>102.6</v>
      </c>
      <c r="D53" s="4"/>
      <c r="E53" s="4"/>
    </row>
    <row r="54" spans="1:14" x14ac:dyDescent="0.2">
      <c r="A54" s="76" t="s">
        <v>567</v>
      </c>
      <c r="B54" s="82" t="s">
        <v>564</v>
      </c>
      <c r="C54" s="25">
        <f>132.8-65.1</f>
        <v>67.700000000000017</v>
      </c>
      <c r="D54" s="4"/>
      <c r="E54" s="4"/>
    </row>
    <row r="55" spans="1:14" ht="25.5" x14ac:dyDescent="0.2">
      <c r="A55" s="76" t="s">
        <v>568</v>
      </c>
      <c r="B55" s="82" t="s">
        <v>563</v>
      </c>
      <c r="C55" s="25">
        <v>0.7</v>
      </c>
      <c r="D55" s="4"/>
      <c r="E55" s="4"/>
    </row>
    <row r="56" spans="1:14" ht="51" x14ac:dyDescent="0.2">
      <c r="A56" s="76" t="s">
        <v>569</v>
      </c>
      <c r="B56" s="82" t="s">
        <v>588</v>
      </c>
      <c r="C56" s="25">
        <f>0.6+1</f>
        <v>1.6</v>
      </c>
      <c r="D56" s="4"/>
      <c r="E56" s="4"/>
    </row>
    <row r="57" spans="1:14" ht="25.5" x14ac:dyDescent="0.2">
      <c r="A57" s="76" t="s">
        <v>585</v>
      </c>
      <c r="B57" s="82" t="s">
        <v>610</v>
      </c>
      <c r="C57" s="25">
        <f>24.9+22.6+16.5+19+23.3</f>
        <v>106.3</v>
      </c>
      <c r="D57" s="4"/>
      <c r="E57" s="4"/>
    </row>
    <row r="58" spans="1:14" x14ac:dyDescent="0.2">
      <c r="A58" s="76" t="s">
        <v>609</v>
      </c>
      <c r="B58" s="81" t="s">
        <v>562</v>
      </c>
      <c r="C58" s="25">
        <v>54.6</v>
      </c>
      <c r="D58" s="4"/>
      <c r="E58" s="4"/>
    </row>
    <row r="59" spans="1:14" ht="25.5" customHeight="1" x14ac:dyDescent="0.2">
      <c r="A59" s="76" t="s">
        <v>612</v>
      </c>
      <c r="B59" s="82" t="s">
        <v>565</v>
      </c>
      <c r="C59" s="25">
        <v>282</v>
      </c>
      <c r="D59" s="4"/>
      <c r="E59" s="4"/>
      <c r="G59" s="62"/>
      <c r="H59" s="62"/>
      <c r="I59" s="62"/>
      <c r="J59" s="62"/>
      <c r="K59" s="62"/>
      <c r="L59" s="62"/>
      <c r="M59" s="62"/>
      <c r="N59" s="62"/>
    </row>
    <row r="60" spans="1:14" ht="25.5" x14ac:dyDescent="0.2">
      <c r="A60" s="76" t="s">
        <v>709</v>
      </c>
      <c r="B60" s="82" t="s">
        <v>693</v>
      </c>
      <c r="C60" s="25">
        <v>0.1</v>
      </c>
      <c r="D60" s="4"/>
      <c r="E60" s="4"/>
      <c r="G60" s="62"/>
      <c r="H60" s="62"/>
      <c r="I60" s="62"/>
      <c r="J60" s="62"/>
      <c r="K60" s="62"/>
      <c r="L60" s="62"/>
      <c r="M60" s="62"/>
      <c r="N60" s="62"/>
    </row>
    <row r="61" spans="1:14" x14ac:dyDescent="0.2">
      <c r="A61" s="76" t="s">
        <v>710</v>
      </c>
      <c r="B61" s="82" t="s">
        <v>695</v>
      </c>
      <c r="C61" s="25">
        <v>28.7</v>
      </c>
      <c r="D61" s="4"/>
      <c r="E61" s="4"/>
      <c r="G61" s="62"/>
      <c r="H61" s="62"/>
      <c r="I61" s="62"/>
      <c r="J61" s="62"/>
      <c r="K61" s="62"/>
      <c r="L61" s="62"/>
      <c r="M61" s="62"/>
      <c r="N61" s="62"/>
    </row>
    <row r="62" spans="1:14" ht="25.5" x14ac:dyDescent="0.2">
      <c r="A62" s="76" t="s">
        <v>711</v>
      </c>
      <c r="B62" s="82" t="s">
        <v>699</v>
      </c>
      <c r="C62" s="25">
        <v>18</v>
      </c>
      <c r="D62" s="4"/>
      <c r="E62" s="4"/>
      <c r="G62" s="62"/>
      <c r="H62" s="62"/>
      <c r="I62" s="62"/>
      <c r="J62" s="62"/>
      <c r="K62" s="62"/>
      <c r="L62" s="62"/>
      <c r="M62" s="62"/>
      <c r="N62" s="62"/>
    </row>
    <row r="63" spans="1:14" x14ac:dyDescent="0.2">
      <c r="A63" s="76" t="s">
        <v>712</v>
      </c>
      <c r="B63" s="82" t="s">
        <v>700</v>
      </c>
      <c r="C63" s="25">
        <f>300+484</f>
        <v>784</v>
      </c>
      <c r="D63" s="4"/>
      <c r="E63" s="4"/>
      <c r="G63" s="62"/>
      <c r="H63" s="62"/>
      <c r="I63" s="62"/>
      <c r="J63" s="62"/>
      <c r="K63" s="62"/>
      <c r="L63" s="62"/>
      <c r="M63" s="62"/>
      <c r="N63" s="62"/>
    </row>
    <row r="64" spans="1:14" x14ac:dyDescent="0.2">
      <c r="A64" s="76" t="s">
        <v>713</v>
      </c>
      <c r="B64" s="82" t="s">
        <v>708</v>
      </c>
      <c r="C64" s="25">
        <f>2878.6+117</f>
        <v>2995.6</v>
      </c>
      <c r="D64" s="4"/>
      <c r="E64" s="4"/>
      <c r="G64" s="62"/>
      <c r="H64" s="62"/>
      <c r="I64" s="62"/>
      <c r="J64" s="62"/>
      <c r="K64" s="62"/>
      <c r="L64" s="62"/>
      <c r="M64" s="62"/>
      <c r="N64" s="62"/>
    </row>
    <row r="65" spans="1:14" ht="25.5" x14ac:dyDescent="0.2">
      <c r="A65" s="76" t="s">
        <v>715</v>
      </c>
      <c r="B65" s="82" t="s">
        <v>726</v>
      </c>
      <c r="C65" s="25">
        <v>232</v>
      </c>
      <c r="D65" s="4"/>
      <c r="E65" s="4"/>
      <c r="G65" s="62"/>
      <c r="H65" s="62"/>
      <c r="I65" s="62"/>
      <c r="J65" s="62"/>
      <c r="K65" s="62"/>
      <c r="L65" s="62"/>
      <c r="M65" s="62"/>
      <c r="N65" s="62"/>
    </row>
    <row r="66" spans="1:14" ht="25.5" x14ac:dyDescent="0.2">
      <c r="A66" s="76" t="s">
        <v>716</v>
      </c>
      <c r="B66" s="82" t="s">
        <v>714</v>
      </c>
      <c r="C66" s="25">
        <f>18.5+18.7</f>
        <v>37.200000000000003</v>
      </c>
      <c r="D66" s="4"/>
      <c r="E66" s="4"/>
      <c r="G66" s="62"/>
      <c r="H66" s="62"/>
      <c r="I66" s="62"/>
      <c r="J66" s="62"/>
      <c r="K66" s="62"/>
      <c r="L66" s="62"/>
      <c r="M66" s="62"/>
      <c r="N66" s="62"/>
    </row>
    <row r="67" spans="1:14" ht="25.5" customHeight="1" x14ac:dyDescent="0.2">
      <c r="A67" s="76" t="s">
        <v>718</v>
      </c>
      <c r="B67" s="82" t="s">
        <v>717</v>
      </c>
      <c r="C67" s="25">
        <v>14.1</v>
      </c>
      <c r="D67" s="4"/>
      <c r="E67" s="4"/>
      <c r="G67" s="62"/>
      <c r="H67" s="62"/>
      <c r="I67" s="62"/>
      <c r="J67" s="62"/>
      <c r="K67" s="62"/>
      <c r="L67" s="62"/>
      <c r="M67" s="62"/>
      <c r="N67" s="62"/>
    </row>
    <row r="68" spans="1:14" ht="25.5" customHeight="1" x14ac:dyDescent="0.2">
      <c r="A68" s="76" t="s">
        <v>745</v>
      </c>
      <c r="B68" s="82" t="s">
        <v>728</v>
      </c>
      <c r="C68" s="25">
        <v>1639.3</v>
      </c>
      <c r="D68" s="4"/>
      <c r="E68" s="4"/>
      <c r="G68" s="62"/>
      <c r="H68" s="62"/>
      <c r="I68" s="62"/>
      <c r="J68" s="62"/>
      <c r="K68" s="62"/>
      <c r="L68" s="62"/>
      <c r="M68" s="62"/>
      <c r="N68" s="62"/>
    </row>
    <row r="69" spans="1:14" ht="25.5" customHeight="1" x14ac:dyDescent="0.2">
      <c r="A69" s="76" t="s">
        <v>746</v>
      </c>
      <c r="B69" s="82" t="s">
        <v>753</v>
      </c>
      <c r="C69" s="25">
        <v>300</v>
      </c>
      <c r="D69" s="4"/>
      <c r="E69" s="4"/>
      <c r="G69" s="62"/>
      <c r="H69" s="62"/>
      <c r="I69" s="62"/>
      <c r="J69" s="62"/>
      <c r="K69" s="62"/>
      <c r="L69" s="62"/>
      <c r="M69" s="62"/>
      <c r="N69" s="62"/>
    </row>
    <row r="70" spans="1:14" ht="25.5" customHeight="1" x14ac:dyDescent="0.2">
      <c r="A70" s="76" t="s">
        <v>747</v>
      </c>
      <c r="B70" s="82" t="s">
        <v>731</v>
      </c>
      <c r="C70" s="25">
        <v>8.6</v>
      </c>
      <c r="D70" s="4"/>
      <c r="E70" s="4"/>
      <c r="G70" s="62"/>
      <c r="H70" s="62"/>
      <c r="I70" s="62"/>
      <c r="J70" s="62"/>
      <c r="K70" s="62"/>
      <c r="L70" s="62"/>
      <c r="M70" s="62"/>
      <c r="N70" s="62"/>
    </row>
    <row r="71" spans="1:14" ht="25.5" customHeight="1" x14ac:dyDescent="0.2">
      <c r="A71" s="76" t="s">
        <v>748</v>
      </c>
      <c r="B71" s="82" t="s">
        <v>733</v>
      </c>
      <c r="C71" s="25">
        <v>13.6</v>
      </c>
      <c r="D71" s="4"/>
      <c r="E71" s="4"/>
      <c r="G71" s="62"/>
      <c r="H71" s="62"/>
      <c r="I71" s="62"/>
      <c r="J71" s="62"/>
      <c r="K71" s="62"/>
      <c r="L71" s="62"/>
      <c r="M71" s="62"/>
      <c r="N71" s="62"/>
    </row>
    <row r="72" spans="1:14" ht="25.5" customHeight="1" x14ac:dyDescent="0.2">
      <c r="A72" s="76" t="s">
        <v>749</v>
      </c>
      <c r="B72" s="82" t="s">
        <v>736</v>
      </c>
      <c r="C72" s="25">
        <v>15.4</v>
      </c>
      <c r="D72" s="4"/>
      <c r="E72" s="4"/>
      <c r="G72" s="62"/>
      <c r="H72" s="62"/>
      <c r="I72" s="62"/>
      <c r="J72" s="62"/>
      <c r="K72" s="62"/>
      <c r="L72" s="62"/>
      <c r="M72" s="62"/>
      <c r="N72" s="62"/>
    </row>
    <row r="73" spans="1:14" ht="25.5" customHeight="1" x14ac:dyDescent="0.2">
      <c r="A73" s="76" t="s">
        <v>750</v>
      </c>
      <c r="B73" s="82" t="s">
        <v>738</v>
      </c>
      <c r="C73" s="25">
        <v>27.8</v>
      </c>
      <c r="D73" s="4"/>
      <c r="E73" s="4"/>
      <c r="G73" s="62"/>
      <c r="H73" s="62"/>
      <c r="I73" s="62"/>
      <c r="J73" s="62"/>
      <c r="K73" s="62"/>
      <c r="L73" s="62"/>
      <c r="M73" s="62"/>
      <c r="N73" s="62"/>
    </row>
    <row r="74" spans="1:14" ht="25.5" customHeight="1" x14ac:dyDescent="0.2">
      <c r="A74" s="76" t="s">
        <v>751</v>
      </c>
      <c r="B74" s="82" t="s">
        <v>755</v>
      </c>
      <c r="C74" s="25">
        <v>30</v>
      </c>
      <c r="D74" s="4"/>
      <c r="E74" s="4"/>
      <c r="G74" s="62"/>
      <c r="H74" s="62"/>
      <c r="I74" s="62"/>
      <c r="J74" s="62"/>
      <c r="K74" s="62"/>
      <c r="L74" s="62"/>
      <c r="M74" s="62"/>
      <c r="N74" s="62"/>
    </row>
    <row r="75" spans="1:14" ht="25.5" customHeight="1" x14ac:dyDescent="0.2">
      <c r="A75" s="76" t="s">
        <v>754</v>
      </c>
      <c r="B75" s="82" t="s">
        <v>759</v>
      </c>
      <c r="C75" s="25">
        <v>32</v>
      </c>
      <c r="D75" s="4"/>
      <c r="E75" s="4"/>
      <c r="G75" s="62"/>
      <c r="H75" s="62"/>
      <c r="I75" s="62"/>
      <c r="J75" s="62"/>
      <c r="K75" s="62"/>
      <c r="L75" s="62"/>
      <c r="M75" s="62"/>
      <c r="N75" s="62"/>
    </row>
    <row r="76" spans="1:14" ht="51" x14ac:dyDescent="0.2">
      <c r="A76" s="76" t="s">
        <v>762</v>
      </c>
      <c r="B76" s="82" t="s">
        <v>764</v>
      </c>
      <c r="C76" s="25">
        <v>5.8</v>
      </c>
      <c r="D76" s="4"/>
      <c r="E76" s="4"/>
      <c r="G76" s="62"/>
      <c r="H76" s="62"/>
      <c r="I76" s="62"/>
      <c r="J76" s="62"/>
      <c r="K76" s="62"/>
      <c r="L76" s="62"/>
      <c r="M76" s="62"/>
      <c r="N76" s="62"/>
    </row>
    <row r="77" spans="1:14" ht="51" x14ac:dyDescent="0.2">
      <c r="A77" s="76" t="s">
        <v>763</v>
      </c>
      <c r="B77" s="82" t="s">
        <v>788</v>
      </c>
      <c r="C77" s="25">
        <v>51.7</v>
      </c>
      <c r="D77" s="4"/>
      <c r="E77" s="4"/>
      <c r="G77" s="62"/>
      <c r="H77" s="62"/>
      <c r="I77" s="62"/>
      <c r="J77" s="62"/>
      <c r="K77" s="62"/>
      <c r="L77" s="62"/>
      <c r="M77" s="62"/>
      <c r="N77" s="62"/>
    </row>
    <row r="78" spans="1:14" ht="51" x14ac:dyDescent="0.2">
      <c r="A78" s="76" t="s">
        <v>765</v>
      </c>
      <c r="B78" s="82" t="s">
        <v>769</v>
      </c>
      <c r="C78" s="25">
        <v>0.4</v>
      </c>
      <c r="D78" s="4"/>
      <c r="E78" s="4"/>
      <c r="G78" s="62"/>
      <c r="H78" s="62"/>
      <c r="I78" s="62"/>
      <c r="J78" s="62"/>
      <c r="K78" s="62"/>
      <c r="L78" s="62"/>
      <c r="M78" s="62"/>
      <c r="N78" s="62"/>
    </row>
    <row r="79" spans="1:14" ht="25.5" x14ac:dyDescent="0.2">
      <c r="A79" s="76" t="s">
        <v>767</v>
      </c>
      <c r="B79" s="82" t="s">
        <v>768</v>
      </c>
      <c r="C79" s="25">
        <v>147.19999999999999</v>
      </c>
      <c r="D79" s="4"/>
      <c r="E79" s="4"/>
      <c r="G79" s="62"/>
      <c r="H79" s="62"/>
      <c r="I79" s="62"/>
      <c r="J79" s="62"/>
      <c r="K79" s="62"/>
      <c r="L79" s="62"/>
      <c r="M79" s="62"/>
      <c r="N79" s="62"/>
    </row>
    <row r="80" spans="1:14" ht="38.25" x14ac:dyDescent="0.2">
      <c r="A80" s="76" t="s">
        <v>771</v>
      </c>
      <c r="B80" s="82" t="s">
        <v>776</v>
      </c>
      <c r="C80" s="25">
        <v>1482.4</v>
      </c>
      <c r="D80" s="4"/>
      <c r="E80" s="4"/>
      <c r="G80" s="62"/>
      <c r="H80" s="62"/>
      <c r="I80" s="62"/>
      <c r="J80" s="62"/>
      <c r="K80" s="62"/>
      <c r="L80" s="62"/>
      <c r="M80" s="62"/>
      <c r="N80" s="62"/>
    </row>
    <row r="81" spans="1:14" ht="25.5" x14ac:dyDescent="0.2">
      <c r="A81" s="76" t="s">
        <v>772</v>
      </c>
      <c r="B81" s="82" t="s">
        <v>773</v>
      </c>
      <c r="C81" s="25">
        <v>2496.5</v>
      </c>
      <c r="D81" s="4"/>
      <c r="E81" s="4"/>
      <c r="G81" s="62"/>
      <c r="H81" s="62"/>
      <c r="I81" s="62"/>
      <c r="J81" s="62"/>
      <c r="K81" s="62"/>
      <c r="L81" s="62"/>
      <c r="M81" s="62"/>
      <c r="N81" s="62"/>
    </row>
    <row r="82" spans="1:14" x14ac:dyDescent="0.2">
      <c r="A82" s="76">
        <v>17</v>
      </c>
      <c r="B82" s="74" t="s">
        <v>388</v>
      </c>
      <c r="C82" s="78">
        <f>C83+C88+C92+C95+C96+C98</f>
        <v>4832</v>
      </c>
      <c r="D82" s="4"/>
      <c r="G82" s="59"/>
    </row>
    <row r="83" spans="1:14" x14ac:dyDescent="0.2">
      <c r="A83" s="76">
        <v>18</v>
      </c>
      <c r="B83" s="74" t="s">
        <v>389</v>
      </c>
      <c r="C83" s="78">
        <f>C85+C86+C87+C84</f>
        <v>720</v>
      </c>
      <c r="D83" s="79"/>
    </row>
    <row r="84" spans="1:14" x14ac:dyDescent="0.2">
      <c r="A84" s="76">
        <v>19</v>
      </c>
      <c r="B84" s="91" t="s">
        <v>304</v>
      </c>
      <c r="C84" s="25">
        <v>20</v>
      </c>
      <c r="D84" s="4"/>
    </row>
    <row r="85" spans="1:14" ht="25.5" x14ac:dyDescent="0.2">
      <c r="A85" s="76">
        <v>20</v>
      </c>
      <c r="B85" s="82" t="s">
        <v>305</v>
      </c>
      <c r="C85" s="25">
        <v>600</v>
      </c>
      <c r="D85" s="4"/>
    </row>
    <row r="86" spans="1:14" x14ac:dyDescent="0.2">
      <c r="A86" s="76">
        <v>21</v>
      </c>
      <c r="B86" s="81" t="s">
        <v>306</v>
      </c>
      <c r="C86" s="25">
        <v>50</v>
      </c>
      <c r="D86" s="79"/>
    </row>
    <row r="87" spans="1:14" x14ac:dyDescent="0.2">
      <c r="A87" s="76">
        <v>22</v>
      </c>
      <c r="B87" s="92" t="s">
        <v>185</v>
      </c>
      <c r="C87" s="25">
        <v>50</v>
      </c>
      <c r="D87" s="79"/>
    </row>
    <row r="88" spans="1:14" x14ac:dyDescent="0.2">
      <c r="A88" s="76">
        <v>23</v>
      </c>
      <c r="B88" s="74" t="s">
        <v>390</v>
      </c>
      <c r="C88" s="78">
        <f>+C90+C89+C91</f>
        <v>2083</v>
      </c>
      <c r="D88" s="4"/>
    </row>
    <row r="89" spans="1:14" x14ac:dyDescent="0.2">
      <c r="A89" s="76">
        <v>24</v>
      </c>
      <c r="B89" s="81" t="s">
        <v>307</v>
      </c>
      <c r="C89" s="25">
        <v>259.10000000000002</v>
      </c>
      <c r="D89" s="79"/>
      <c r="E89" s="79"/>
      <c r="F89" s="83"/>
    </row>
    <row r="90" spans="1:14" x14ac:dyDescent="0.2">
      <c r="A90" s="76">
        <v>25</v>
      </c>
      <c r="B90" s="81" t="s">
        <v>308</v>
      </c>
      <c r="C90" s="25">
        <v>148.69999999999999</v>
      </c>
      <c r="D90" s="79"/>
      <c r="E90" s="79"/>
      <c r="F90" s="83"/>
    </row>
    <row r="91" spans="1:14" x14ac:dyDescent="0.2">
      <c r="A91" s="76">
        <v>26</v>
      </c>
      <c r="B91" s="81" t="s">
        <v>309</v>
      </c>
      <c r="C91" s="25">
        <v>1675.2</v>
      </c>
      <c r="D91" s="79"/>
      <c r="E91" s="79"/>
      <c r="F91" s="83"/>
    </row>
    <row r="92" spans="1:14" x14ac:dyDescent="0.2">
      <c r="A92" s="76">
        <v>27</v>
      </c>
      <c r="B92" s="74" t="s">
        <v>391</v>
      </c>
      <c r="C92" s="77">
        <f>+C93+C94</f>
        <v>1645</v>
      </c>
      <c r="D92" s="4"/>
      <c r="E92" s="83"/>
      <c r="F92" s="83"/>
    </row>
    <row r="93" spans="1:14" x14ac:dyDescent="0.2">
      <c r="A93" s="76">
        <v>28</v>
      </c>
      <c r="B93" s="81" t="s">
        <v>310</v>
      </c>
      <c r="C93" s="25">
        <v>45</v>
      </c>
      <c r="D93" s="4"/>
      <c r="G93" s="59"/>
    </row>
    <row r="94" spans="1:14" x14ac:dyDescent="0.2">
      <c r="A94" s="76">
        <v>29</v>
      </c>
      <c r="B94" s="81" t="s">
        <v>311</v>
      </c>
      <c r="C94" s="25">
        <v>1600</v>
      </c>
      <c r="E94" s="79"/>
    </row>
    <row r="95" spans="1:14" x14ac:dyDescent="0.2">
      <c r="A95" s="76">
        <v>30</v>
      </c>
      <c r="B95" s="74" t="s">
        <v>312</v>
      </c>
      <c r="C95" s="78">
        <v>50</v>
      </c>
      <c r="D95" s="4"/>
      <c r="E95" s="83"/>
      <c r="F95" s="83"/>
    </row>
    <row r="96" spans="1:14" x14ac:dyDescent="0.2">
      <c r="A96" s="76">
        <v>31</v>
      </c>
      <c r="B96" s="74" t="s">
        <v>575</v>
      </c>
      <c r="C96" s="78">
        <f>8+C97</f>
        <v>233</v>
      </c>
      <c r="D96" s="4"/>
      <c r="E96" s="4"/>
    </row>
    <row r="97" spans="1:11" x14ac:dyDescent="0.2">
      <c r="A97" s="76" t="s">
        <v>453</v>
      </c>
      <c r="B97" s="81" t="s">
        <v>574</v>
      </c>
      <c r="C97" s="25">
        <v>225</v>
      </c>
      <c r="D97" s="4"/>
      <c r="E97" s="4"/>
    </row>
    <row r="98" spans="1:11" x14ac:dyDescent="0.2">
      <c r="A98" s="76">
        <v>32</v>
      </c>
      <c r="B98" s="74" t="s">
        <v>313</v>
      </c>
      <c r="C98" s="78">
        <v>101</v>
      </c>
      <c r="D98" s="4"/>
    </row>
    <row r="99" spans="1:11" ht="13.5" x14ac:dyDescent="0.25">
      <c r="A99" s="76">
        <v>33</v>
      </c>
      <c r="B99" s="93" t="s">
        <v>392</v>
      </c>
      <c r="C99" s="78">
        <f>+C8+C17+C82</f>
        <v>85824.4</v>
      </c>
      <c r="D99" s="94"/>
      <c r="E99" s="4"/>
      <c r="G99" s="95"/>
      <c r="H99" s="96"/>
    </row>
    <row r="100" spans="1:11" ht="12.6" customHeight="1" x14ac:dyDescent="0.2">
      <c r="A100" s="76">
        <v>34</v>
      </c>
      <c r="B100" s="80" t="s">
        <v>314</v>
      </c>
      <c r="C100" s="77">
        <f>1836.7+426+532+1046</f>
        <v>3840.7</v>
      </c>
      <c r="D100" s="61"/>
      <c r="F100" s="4"/>
    </row>
    <row r="101" spans="1:11" ht="12.6" customHeight="1" x14ac:dyDescent="0.2">
      <c r="A101" s="76">
        <v>35</v>
      </c>
      <c r="B101" s="93" t="s">
        <v>393</v>
      </c>
      <c r="C101" s="78">
        <f>+C99+C100</f>
        <v>89665.099999999991</v>
      </c>
      <c r="D101" s="4"/>
      <c r="E101" s="4"/>
      <c r="F101" s="4"/>
      <c r="G101" s="4"/>
    </row>
    <row r="102" spans="1:11" ht="12.6" customHeight="1" x14ac:dyDescent="0.2">
      <c r="A102" s="76">
        <v>36</v>
      </c>
      <c r="B102" s="74" t="s">
        <v>451</v>
      </c>
      <c r="C102" s="78">
        <f>+C103+C105+C104+C106+C107+C108+C109+C110+C111</f>
        <v>7372.4</v>
      </c>
      <c r="E102" s="4"/>
      <c r="F102" s="4"/>
      <c r="G102" s="4"/>
    </row>
    <row r="103" spans="1:11" x14ac:dyDescent="0.2">
      <c r="A103" s="76">
        <v>37</v>
      </c>
      <c r="B103" s="81" t="s">
        <v>315</v>
      </c>
      <c r="C103" s="25">
        <v>6100.4</v>
      </c>
      <c r="D103" s="4"/>
      <c r="E103" s="4"/>
      <c r="F103" s="68"/>
      <c r="G103" s="68"/>
      <c r="H103" s="59"/>
    </row>
    <row r="104" spans="1:11" ht="12.6" customHeight="1" x14ac:dyDescent="0.2">
      <c r="A104" s="76">
        <v>38</v>
      </c>
      <c r="B104" s="81" t="s">
        <v>316</v>
      </c>
      <c r="C104" s="25">
        <v>109.5</v>
      </c>
      <c r="D104" s="79"/>
      <c r="E104" s="79"/>
      <c r="F104" s="4"/>
      <c r="G104" s="4"/>
    </row>
    <row r="105" spans="1:11" ht="12.6" customHeight="1" x14ac:dyDescent="0.2">
      <c r="A105" s="76">
        <v>39</v>
      </c>
      <c r="B105" s="81" t="s">
        <v>317</v>
      </c>
      <c r="C105" s="25">
        <v>49.3</v>
      </c>
      <c r="D105" s="79"/>
      <c r="E105" s="79"/>
      <c r="F105" s="4"/>
      <c r="G105" s="4"/>
    </row>
    <row r="106" spans="1:11" ht="12.6" customHeight="1" x14ac:dyDescent="0.2">
      <c r="A106" s="76">
        <v>40</v>
      </c>
      <c r="B106" s="82" t="s">
        <v>318</v>
      </c>
      <c r="C106" s="25">
        <v>193.8</v>
      </c>
      <c r="D106" s="79"/>
      <c r="E106" s="79"/>
      <c r="F106" s="4"/>
      <c r="G106" s="4"/>
    </row>
    <row r="107" spans="1:11" ht="12.6" customHeight="1" x14ac:dyDescent="0.2">
      <c r="A107" s="76">
        <v>41</v>
      </c>
      <c r="B107" s="81" t="s">
        <v>319</v>
      </c>
      <c r="C107" s="25">
        <v>331.2</v>
      </c>
      <c r="D107" s="4"/>
      <c r="G107" s="4"/>
    </row>
    <row r="108" spans="1:11" ht="12.6" customHeight="1" x14ac:dyDescent="0.2">
      <c r="A108" s="76">
        <v>42</v>
      </c>
      <c r="B108" s="81" t="s">
        <v>320</v>
      </c>
      <c r="C108" s="25">
        <v>13</v>
      </c>
      <c r="D108" s="4"/>
      <c r="E108" s="79"/>
      <c r="F108" s="4"/>
      <c r="G108" s="4"/>
    </row>
    <row r="109" spans="1:11" ht="12.6" customHeight="1" x14ac:dyDescent="0.2">
      <c r="A109" s="76">
        <v>43</v>
      </c>
      <c r="B109" s="81" t="s">
        <v>321</v>
      </c>
      <c r="C109" s="25">
        <f>+(224.1+69.8-57.3)+(295.8+10.2-181)</f>
        <v>361.59999999999997</v>
      </c>
      <c r="D109" s="4"/>
      <c r="E109" s="97"/>
      <c r="F109" s="4"/>
      <c r="G109" s="4"/>
    </row>
    <row r="110" spans="1:11" ht="12.6" customHeight="1" x14ac:dyDescent="0.2">
      <c r="A110" s="76">
        <v>44</v>
      </c>
      <c r="B110" s="87" t="s">
        <v>284</v>
      </c>
      <c r="C110" s="25">
        <v>213.2</v>
      </c>
      <c r="D110" s="4"/>
      <c r="E110" s="79"/>
      <c r="F110" s="79"/>
      <c r="G110" s="4"/>
      <c r="K110" s="59"/>
    </row>
    <row r="111" spans="1:11" ht="12.6" customHeight="1" x14ac:dyDescent="0.2">
      <c r="A111" s="76">
        <v>45</v>
      </c>
      <c r="B111" s="87" t="s">
        <v>322</v>
      </c>
      <c r="C111" s="25">
        <v>0.4</v>
      </c>
      <c r="D111" s="4"/>
      <c r="E111" s="79"/>
      <c r="F111" s="79"/>
      <c r="G111" s="4"/>
    </row>
    <row r="112" spans="1:11" ht="12.6" customHeight="1" x14ac:dyDescent="0.2">
      <c r="A112" s="76">
        <v>46</v>
      </c>
      <c r="B112" s="93" t="s">
        <v>323</v>
      </c>
      <c r="C112" s="98">
        <f>+C101+C102</f>
        <v>97037.499999999985</v>
      </c>
      <c r="D112" s="60"/>
      <c r="G112" s="59"/>
    </row>
    <row r="113" spans="1:7" ht="12.6" customHeight="1" x14ac:dyDescent="0.2">
      <c r="A113" s="69"/>
      <c r="B113" s="99" t="s">
        <v>324</v>
      </c>
      <c r="C113" s="100"/>
    </row>
    <row r="114" spans="1:7" ht="12.6" customHeight="1" x14ac:dyDescent="0.2">
      <c r="A114" s="69"/>
      <c r="B114" s="99"/>
      <c r="C114" s="61"/>
    </row>
    <row r="115" spans="1:7" ht="12.6" customHeight="1" x14ac:dyDescent="0.2">
      <c r="A115" s="69"/>
      <c r="B115" s="99"/>
      <c r="C115" s="61"/>
    </row>
    <row r="116" spans="1:7" x14ac:dyDescent="0.2">
      <c r="B116" s="36"/>
      <c r="G116" s="59"/>
    </row>
    <row r="117" spans="1:7" x14ac:dyDescent="0.2">
      <c r="B117" s="36"/>
      <c r="C117" s="61"/>
      <c r="G117" s="59"/>
    </row>
    <row r="118" spans="1:7" x14ac:dyDescent="0.2">
      <c r="B118" s="36"/>
      <c r="C118" s="61"/>
      <c r="G118" s="59"/>
    </row>
    <row r="119" spans="1:7" x14ac:dyDescent="0.2">
      <c r="B119" s="36"/>
      <c r="C119" s="61"/>
      <c r="G119" s="59"/>
    </row>
    <row r="120" spans="1:7" x14ac:dyDescent="0.2">
      <c r="B120" s="36"/>
      <c r="C120" s="59"/>
      <c r="D120" s="61"/>
      <c r="F120" s="4"/>
      <c r="G120" s="59"/>
    </row>
    <row r="121" spans="1:7" x14ac:dyDescent="0.2">
      <c r="B121" s="36"/>
      <c r="C121" s="61"/>
      <c r="D121" s="59"/>
    </row>
    <row r="122" spans="1:7" x14ac:dyDescent="0.2">
      <c r="B122" s="36"/>
      <c r="C122" s="61"/>
    </row>
    <row r="123" spans="1:7" ht="15.75" x14ac:dyDescent="0.25">
      <c r="B123" s="42"/>
      <c r="C123" s="61"/>
    </row>
    <row r="124" spans="1:7" ht="15.75" x14ac:dyDescent="0.25">
      <c r="B124" s="42"/>
      <c r="C124" s="101"/>
      <c r="G124" s="59"/>
    </row>
    <row r="130" spans="5:7" x14ac:dyDescent="0.2">
      <c r="G130" s="59"/>
    </row>
    <row r="132" spans="5:7" ht="12" customHeight="1" x14ac:dyDescent="0.2"/>
    <row r="133" spans="5:7" ht="12" customHeight="1" x14ac:dyDescent="0.2"/>
    <row r="134" spans="5:7" ht="12" customHeight="1" x14ac:dyDescent="0.2"/>
    <row r="135" spans="5:7" ht="12" customHeight="1" x14ac:dyDescent="0.2"/>
    <row r="136" spans="5:7" ht="12" customHeight="1" x14ac:dyDescent="0.2"/>
    <row r="137" spans="5:7" ht="12" customHeight="1" x14ac:dyDescent="0.2"/>
    <row r="138" spans="5:7" ht="12" customHeight="1" x14ac:dyDescent="0.2"/>
    <row r="139" spans="5:7" ht="12" customHeight="1" x14ac:dyDescent="0.2"/>
    <row r="140" spans="5:7" x14ac:dyDescent="0.2">
      <c r="E140" s="85"/>
    </row>
  </sheetData>
  <mergeCells count="3">
    <mergeCell ref="A3:C3"/>
    <mergeCell ref="B1:C1"/>
    <mergeCell ref="B2:C2"/>
  </mergeCells>
  <phoneticPr fontId="13" type="noConversion"/>
  <pageMargins left="0.51181102362204722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34"/>
  <sheetViews>
    <sheetView zoomScaleNormal="100" workbookViewId="0">
      <selection activeCell="L301" sqref="L301"/>
    </sheetView>
  </sheetViews>
  <sheetFormatPr defaultColWidth="9.140625" defaultRowHeight="12.75" x14ac:dyDescent="0.2"/>
  <cols>
    <col min="1" max="1" width="5.85546875" style="5" customWidth="1"/>
    <col min="2" max="2" width="6.7109375" style="6" customWidth="1"/>
    <col min="3" max="3" width="51.28515625" style="3" customWidth="1"/>
    <col min="4" max="4" width="11.42578125" style="7" customWidth="1"/>
    <col min="5" max="5" width="9.7109375" style="3" customWidth="1"/>
    <col min="6" max="6" width="11" style="3" customWidth="1"/>
    <col min="7" max="16384" width="9.140625" style="2"/>
  </cols>
  <sheetData>
    <row r="1" spans="1:10" ht="15.75" customHeight="1" x14ac:dyDescent="0.25">
      <c r="C1" s="144" t="s">
        <v>275</v>
      </c>
      <c r="D1" s="144"/>
      <c r="E1" s="144"/>
      <c r="F1" s="144"/>
    </row>
    <row r="2" spans="1:10" ht="15.75" x14ac:dyDescent="0.25">
      <c r="C2" s="144" t="s">
        <v>790</v>
      </c>
      <c r="D2" s="144"/>
      <c r="E2" s="144"/>
      <c r="F2" s="144"/>
    </row>
    <row r="3" spans="1:10" ht="14.25" customHeight="1" x14ac:dyDescent="0.2">
      <c r="B3" s="7"/>
      <c r="E3" s="165" t="s">
        <v>115</v>
      </c>
      <c r="F3" s="165"/>
    </row>
    <row r="4" spans="1:10" ht="15.75" x14ac:dyDescent="0.2">
      <c r="B4" s="7"/>
      <c r="E4" s="27"/>
      <c r="F4" s="27"/>
    </row>
    <row r="5" spans="1:10" ht="25.5" customHeight="1" x14ac:dyDescent="0.2">
      <c r="A5" s="166" t="s">
        <v>412</v>
      </c>
      <c r="B5" s="166"/>
      <c r="C5" s="166"/>
      <c r="D5" s="166"/>
      <c r="E5" s="166"/>
      <c r="F5" s="166"/>
    </row>
    <row r="6" spans="1:10" x14ac:dyDescent="0.2">
      <c r="A6" s="24"/>
      <c r="B6" s="24"/>
      <c r="C6" s="24"/>
      <c r="D6" s="24"/>
      <c r="E6" s="24"/>
      <c r="F6" s="24"/>
    </row>
    <row r="7" spans="1:10" x14ac:dyDescent="0.2">
      <c r="B7" s="7"/>
      <c r="E7" s="5"/>
      <c r="F7" s="34" t="s">
        <v>129</v>
      </c>
    </row>
    <row r="8" spans="1:10" ht="43.5" customHeight="1" x14ac:dyDescent="0.2">
      <c r="A8" s="8" t="s">
        <v>118</v>
      </c>
      <c r="B8" s="9" t="s">
        <v>329</v>
      </c>
      <c r="C8" s="8" t="s">
        <v>16</v>
      </c>
      <c r="D8" s="9" t="s">
        <v>55</v>
      </c>
      <c r="E8" s="8" t="s">
        <v>17</v>
      </c>
      <c r="F8" s="8" t="s">
        <v>29</v>
      </c>
    </row>
    <row r="9" spans="1:10" x14ac:dyDescent="0.2">
      <c r="A9" s="10">
        <v>1</v>
      </c>
      <c r="B9" s="11" t="s">
        <v>18</v>
      </c>
      <c r="C9" s="8">
        <v>3</v>
      </c>
      <c r="D9" s="9">
        <v>4</v>
      </c>
      <c r="E9" s="8">
        <v>5</v>
      </c>
      <c r="F9" s="8">
        <v>6</v>
      </c>
    </row>
    <row r="10" spans="1:10" ht="20.100000000000001" customHeight="1" x14ac:dyDescent="0.2">
      <c r="A10" s="12">
        <v>1</v>
      </c>
      <c r="B10" s="11" t="s">
        <v>56</v>
      </c>
      <c r="C10" s="13" t="s">
        <v>57</v>
      </c>
      <c r="D10" s="9"/>
      <c r="E10" s="43">
        <f>+E11+E12+E13+E14+E15+E16+E17+E18+E19+E20+E21+E22+E23+E24+E25+E26+E27+E28+E29+E30+E31+E32+E33+E34+E35+E37+E38+E40+E41+E42</f>
        <v>14542.699999999999</v>
      </c>
      <c r="F10" s="43">
        <f>+F11+F12+F13+F14+F15+F16+F17+F18+F19+F20+F21+F22+F23+F24+F25+F26+F27+F28+F29+F30+F31+F32+F33+F34+F35+F37+F38+F40+F41+F42</f>
        <v>10201.5</v>
      </c>
      <c r="I10" s="58"/>
      <c r="J10" s="58"/>
    </row>
    <row r="11" spans="1:10" ht="12.6" customHeight="1" x14ac:dyDescent="0.2">
      <c r="A11" s="12">
        <v>2</v>
      </c>
      <c r="B11" s="1"/>
      <c r="C11" s="102" t="s">
        <v>166</v>
      </c>
      <c r="D11" s="1" t="s">
        <v>58</v>
      </c>
      <c r="E11" s="19">
        <v>447.7</v>
      </c>
      <c r="F11" s="19">
        <v>354.9</v>
      </c>
    </row>
    <row r="12" spans="1:10" ht="12.6" customHeight="1" x14ac:dyDescent="0.2">
      <c r="A12" s="12">
        <v>3</v>
      </c>
      <c r="B12" s="1"/>
      <c r="C12" s="102" t="s">
        <v>157</v>
      </c>
      <c r="D12" s="1" t="s">
        <v>58</v>
      </c>
      <c r="E12" s="19">
        <v>486.3</v>
      </c>
      <c r="F12" s="19">
        <v>387.8</v>
      </c>
    </row>
    <row r="13" spans="1:10" ht="12.6" customHeight="1" x14ac:dyDescent="0.2">
      <c r="A13" s="12">
        <v>4</v>
      </c>
      <c r="B13" s="1"/>
      <c r="C13" s="102" t="s">
        <v>158</v>
      </c>
      <c r="D13" s="1" t="s">
        <v>58</v>
      </c>
      <c r="E13" s="19">
        <v>448.2</v>
      </c>
      <c r="F13" s="19">
        <v>351.9</v>
      </c>
    </row>
    <row r="14" spans="1:10" ht="12.6" customHeight="1" x14ac:dyDescent="0.2">
      <c r="A14" s="12">
        <v>5</v>
      </c>
      <c r="B14" s="1"/>
      <c r="C14" s="102" t="s">
        <v>162</v>
      </c>
      <c r="D14" s="1" t="s">
        <v>58</v>
      </c>
      <c r="E14" s="19">
        <v>450.2</v>
      </c>
      <c r="F14" s="19">
        <v>352.9</v>
      </c>
    </row>
    <row r="15" spans="1:10" ht="12.6" customHeight="1" x14ac:dyDescent="0.2">
      <c r="A15" s="12">
        <v>6</v>
      </c>
      <c r="B15" s="1"/>
      <c r="C15" s="102" t="s">
        <v>159</v>
      </c>
      <c r="D15" s="1" t="s">
        <v>58</v>
      </c>
      <c r="E15" s="19">
        <v>468.8</v>
      </c>
      <c r="F15" s="19">
        <v>369.8</v>
      </c>
    </row>
    <row r="16" spans="1:10" ht="12.6" customHeight="1" x14ac:dyDescent="0.2">
      <c r="A16" s="12">
        <v>7</v>
      </c>
      <c r="B16" s="1"/>
      <c r="C16" s="102" t="s">
        <v>160</v>
      </c>
      <c r="D16" s="1" t="s">
        <v>58</v>
      </c>
      <c r="E16" s="19">
        <v>541.5</v>
      </c>
      <c r="F16" s="19">
        <v>435.1</v>
      </c>
    </row>
    <row r="17" spans="1:6" ht="12.6" customHeight="1" x14ac:dyDescent="0.2">
      <c r="A17" s="12">
        <v>8</v>
      </c>
      <c r="B17" s="1"/>
      <c r="C17" s="102" t="s">
        <v>161</v>
      </c>
      <c r="D17" s="1" t="s">
        <v>58</v>
      </c>
      <c r="E17" s="19">
        <v>510</v>
      </c>
      <c r="F17" s="19">
        <v>396.3</v>
      </c>
    </row>
    <row r="18" spans="1:6" ht="12.6" customHeight="1" x14ac:dyDescent="0.2">
      <c r="A18" s="12">
        <v>9</v>
      </c>
      <c r="B18" s="1"/>
      <c r="C18" s="15" t="s">
        <v>186</v>
      </c>
      <c r="D18" s="1" t="s">
        <v>59</v>
      </c>
      <c r="E18" s="19">
        <v>444.6</v>
      </c>
      <c r="F18" s="19">
        <v>346.2</v>
      </c>
    </row>
    <row r="19" spans="1:6" ht="12.6" customHeight="1" x14ac:dyDescent="0.2">
      <c r="A19" s="12">
        <v>10</v>
      </c>
      <c r="B19" s="1"/>
      <c r="C19" s="102" t="s">
        <v>165</v>
      </c>
      <c r="D19" s="1" t="s">
        <v>60</v>
      </c>
      <c r="E19" s="19">
        <v>459.3</v>
      </c>
      <c r="F19" s="19">
        <v>307.8</v>
      </c>
    </row>
    <row r="20" spans="1:6" ht="25.5" x14ac:dyDescent="0.2">
      <c r="A20" s="12">
        <v>11</v>
      </c>
      <c r="B20" s="1"/>
      <c r="C20" s="102" t="s">
        <v>46</v>
      </c>
      <c r="D20" s="14" t="s">
        <v>119</v>
      </c>
      <c r="E20" s="19">
        <v>420</v>
      </c>
      <c r="F20" s="19">
        <v>258</v>
      </c>
    </row>
    <row r="21" spans="1:6" ht="12.6" customHeight="1" x14ac:dyDescent="0.2">
      <c r="A21" s="12">
        <v>12</v>
      </c>
      <c r="B21" s="1"/>
      <c r="C21" s="15" t="s">
        <v>134</v>
      </c>
      <c r="D21" s="1" t="s">
        <v>60</v>
      </c>
      <c r="E21" s="19">
        <v>944.7</v>
      </c>
      <c r="F21" s="19">
        <v>679.6</v>
      </c>
    </row>
    <row r="22" spans="1:6" ht="12.6" customHeight="1" x14ac:dyDescent="0.2">
      <c r="A22" s="12">
        <v>13</v>
      </c>
      <c r="B22" s="1"/>
      <c r="C22" s="15" t="s">
        <v>135</v>
      </c>
      <c r="D22" s="1" t="s">
        <v>60</v>
      </c>
      <c r="E22" s="19">
        <v>407</v>
      </c>
      <c r="F22" s="19">
        <v>278.60000000000002</v>
      </c>
    </row>
    <row r="23" spans="1:6" ht="12.6" customHeight="1" x14ac:dyDescent="0.2">
      <c r="A23" s="12">
        <v>14</v>
      </c>
      <c r="B23" s="1"/>
      <c r="C23" s="15" t="s">
        <v>40</v>
      </c>
      <c r="D23" s="1" t="s">
        <v>60</v>
      </c>
      <c r="E23" s="19">
        <v>948.2</v>
      </c>
      <c r="F23" s="19">
        <v>655.1</v>
      </c>
    </row>
    <row r="24" spans="1:6" ht="12.6" customHeight="1" x14ac:dyDescent="0.2">
      <c r="A24" s="12">
        <v>15</v>
      </c>
      <c r="B24" s="1"/>
      <c r="C24" s="102" t="s">
        <v>137</v>
      </c>
      <c r="D24" s="1" t="s">
        <v>60</v>
      </c>
      <c r="E24" s="19">
        <f>672.6+17.5</f>
        <v>690.1</v>
      </c>
      <c r="F24" s="19">
        <v>435</v>
      </c>
    </row>
    <row r="25" spans="1:6" ht="12.6" customHeight="1" x14ac:dyDescent="0.2">
      <c r="A25" s="12">
        <v>16</v>
      </c>
      <c r="B25" s="1"/>
      <c r="C25" s="15" t="s">
        <v>163</v>
      </c>
      <c r="D25" s="1" t="s">
        <v>61</v>
      </c>
      <c r="E25" s="19">
        <v>638.70000000000005</v>
      </c>
      <c r="F25" s="19">
        <v>400.9</v>
      </c>
    </row>
    <row r="26" spans="1:6" ht="12.6" customHeight="1" x14ac:dyDescent="0.2">
      <c r="A26" s="12">
        <v>17</v>
      </c>
      <c r="B26" s="1"/>
      <c r="C26" s="102" t="s">
        <v>164</v>
      </c>
      <c r="D26" s="1" t="s">
        <v>61</v>
      </c>
      <c r="E26" s="19">
        <v>478.1</v>
      </c>
      <c r="F26" s="19">
        <v>312.5</v>
      </c>
    </row>
    <row r="27" spans="1:6" ht="12.6" customHeight="1" x14ac:dyDescent="0.2">
      <c r="A27" s="12">
        <v>18</v>
      </c>
      <c r="B27" s="1"/>
      <c r="C27" s="15" t="s">
        <v>120</v>
      </c>
      <c r="D27" s="1" t="s">
        <v>61</v>
      </c>
      <c r="E27" s="19">
        <v>485.9</v>
      </c>
      <c r="F27" s="19">
        <v>311.2</v>
      </c>
    </row>
    <row r="28" spans="1:6" ht="12.6" customHeight="1" x14ac:dyDescent="0.2">
      <c r="A28" s="12">
        <v>19</v>
      </c>
      <c r="B28" s="1"/>
      <c r="C28" s="15" t="s">
        <v>41</v>
      </c>
      <c r="D28" s="1" t="s">
        <v>61</v>
      </c>
      <c r="E28" s="19">
        <v>321.60000000000002</v>
      </c>
      <c r="F28" s="19">
        <v>214</v>
      </c>
    </row>
    <row r="29" spans="1:6" ht="12.6" customHeight="1" x14ac:dyDescent="0.2">
      <c r="A29" s="12">
        <v>20</v>
      </c>
      <c r="B29" s="1"/>
      <c r="C29" s="15" t="s">
        <v>136</v>
      </c>
      <c r="D29" s="1" t="s">
        <v>61</v>
      </c>
      <c r="E29" s="19">
        <v>850.1</v>
      </c>
      <c r="F29" s="19">
        <v>569.70000000000005</v>
      </c>
    </row>
    <row r="30" spans="1:6" ht="12.6" customHeight="1" x14ac:dyDescent="0.2">
      <c r="A30" s="12">
        <v>21</v>
      </c>
      <c r="B30" s="1"/>
      <c r="C30" s="15" t="s">
        <v>147</v>
      </c>
      <c r="D30" s="1" t="s">
        <v>61</v>
      </c>
      <c r="E30" s="19">
        <v>213.7</v>
      </c>
      <c r="F30" s="19">
        <v>131.1</v>
      </c>
    </row>
    <row r="31" spans="1:6" ht="12.6" customHeight="1" x14ac:dyDescent="0.2">
      <c r="A31" s="12">
        <v>22</v>
      </c>
      <c r="B31" s="1"/>
      <c r="C31" s="15" t="s">
        <v>42</v>
      </c>
      <c r="D31" s="1" t="s">
        <v>61</v>
      </c>
      <c r="E31" s="19">
        <v>272.39999999999998</v>
      </c>
      <c r="F31" s="19">
        <v>207.5</v>
      </c>
    </row>
    <row r="32" spans="1:6" ht="51" x14ac:dyDescent="0.2">
      <c r="A32" s="12">
        <v>23</v>
      </c>
      <c r="B32" s="1"/>
      <c r="C32" s="15" t="s">
        <v>111</v>
      </c>
      <c r="D32" s="14" t="s">
        <v>326</v>
      </c>
      <c r="E32" s="19">
        <v>555</v>
      </c>
      <c r="F32" s="19">
        <v>342.8</v>
      </c>
    </row>
    <row r="33" spans="1:6" ht="12.6" customHeight="1" x14ac:dyDescent="0.2">
      <c r="A33" s="12">
        <v>24</v>
      </c>
      <c r="B33" s="1"/>
      <c r="C33" s="21" t="s">
        <v>328</v>
      </c>
      <c r="D33" s="14" t="s">
        <v>61</v>
      </c>
      <c r="E33" s="19">
        <v>0.3</v>
      </c>
      <c r="F33" s="19"/>
    </row>
    <row r="34" spans="1:6" ht="12.6" customHeight="1" x14ac:dyDescent="0.2">
      <c r="A34" s="12">
        <v>25</v>
      </c>
      <c r="B34" s="1"/>
      <c r="C34" s="102" t="s">
        <v>54</v>
      </c>
      <c r="D34" s="1" t="s">
        <v>62</v>
      </c>
      <c r="E34" s="19">
        <v>337.5</v>
      </c>
      <c r="F34" s="19">
        <v>308.60000000000002</v>
      </c>
    </row>
    <row r="35" spans="1:6" ht="12.6" customHeight="1" x14ac:dyDescent="0.2">
      <c r="A35" s="146">
        <v>26</v>
      </c>
      <c r="B35" s="1"/>
      <c r="C35" s="102" t="s">
        <v>47</v>
      </c>
      <c r="D35" s="148" t="s">
        <v>62</v>
      </c>
      <c r="E35" s="19">
        <f>+E36+366</f>
        <v>377</v>
      </c>
      <c r="F35" s="19">
        <v>347.8</v>
      </c>
    </row>
    <row r="36" spans="1:6" ht="25.5" x14ac:dyDescent="0.2">
      <c r="A36" s="147"/>
      <c r="B36" s="1"/>
      <c r="C36" s="15" t="s">
        <v>617</v>
      </c>
      <c r="D36" s="149"/>
      <c r="E36" s="19">
        <v>11</v>
      </c>
      <c r="F36" s="19"/>
    </row>
    <row r="37" spans="1:6" ht="12.6" customHeight="1" x14ac:dyDescent="0.2">
      <c r="A37" s="12">
        <v>27</v>
      </c>
      <c r="B37" s="1"/>
      <c r="C37" s="102" t="s">
        <v>48</v>
      </c>
      <c r="D37" s="1" t="s">
        <v>62</v>
      </c>
      <c r="E37" s="19">
        <v>951.3</v>
      </c>
      <c r="F37" s="19">
        <v>913.9</v>
      </c>
    </row>
    <row r="38" spans="1:6" ht="38.25" customHeight="1" x14ac:dyDescent="0.2">
      <c r="A38" s="163">
        <v>28</v>
      </c>
      <c r="B38" s="148"/>
      <c r="C38" s="102" t="s">
        <v>133</v>
      </c>
      <c r="D38" s="158" t="s">
        <v>149</v>
      </c>
      <c r="E38" s="19">
        <f>139.6+30.2</f>
        <v>169.79999999999998</v>
      </c>
      <c r="F38" s="19">
        <v>113</v>
      </c>
    </row>
    <row r="39" spans="1:6" x14ac:dyDescent="0.2">
      <c r="A39" s="164"/>
      <c r="B39" s="149"/>
      <c r="C39" s="104" t="s">
        <v>606</v>
      </c>
      <c r="D39" s="167"/>
      <c r="E39" s="19">
        <v>30.2</v>
      </c>
      <c r="F39" s="19"/>
    </row>
    <row r="40" spans="1:6" ht="12.6" customHeight="1" x14ac:dyDescent="0.2">
      <c r="A40" s="12">
        <v>29</v>
      </c>
      <c r="B40" s="1"/>
      <c r="C40" s="63" t="s">
        <v>15</v>
      </c>
      <c r="D40" s="1" t="s">
        <v>58</v>
      </c>
      <c r="E40" s="19">
        <v>165</v>
      </c>
      <c r="F40" s="19">
        <v>134.30000000000001</v>
      </c>
    </row>
    <row r="41" spans="1:6" ht="12.6" customHeight="1" x14ac:dyDescent="0.2">
      <c r="A41" s="12">
        <v>30</v>
      </c>
      <c r="B41" s="1"/>
      <c r="C41" s="63" t="s">
        <v>19</v>
      </c>
      <c r="D41" s="1" t="s">
        <v>58</v>
      </c>
      <c r="E41" s="19">
        <f>174.6+0.7</f>
        <v>175.29999999999998</v>
      </c>
      <c r="F41" s="19">
        <v>136</v>
      </c>
    </row>
    <row r="42" spans="1:6" ht="12.6" customHeight="1" x14ac:dyDescent="0.2">
      <c r="A42" s="12">
        <v>31</v>
      </c>
      <c r="B42" s="1"/>
      <c r="C42" s="16" t="s">
        <v>167</v>
      </c>
      <c r="D42" s="1"/>
      <c r="E42" s="45">
        <f>+E43+E47+E44+E45+E46</f>
        <v>884.40000000000009</v>
      </c>
      <c r="F42" s="45">
        <f>+F43+F47+F44+F45+F46</f>
        <v>149.19999999999999</v>
      </c>
    </row>
    <row r="43" spans="1:6" ht="15" customHeight="1" x14ac:dyDescent="0.2">
      <c r="A43" s="106" t="s">
        <v>453</v>
      </c>
      <c r="B43" s="1"/>
      <c r="C43" s="102" t="s">
        <v>3</v>
      </c>
      <c r="D43" s="14" t="s">
        <v>138</v>
      </c>
      <c r="E43" s="45">
        <v>181.7</v>
      </c>
      <c r="F43" s="45">
        <v>149.19999999999999</v>
      </c>
    </row>
    <row r="44" spans="1:6" ht="25.5" x14ac:dyDescent="0.2">
      <c r="A44" s="106" t="s">
        <v>454</v>
      </c>
      <c r="B44" s="1"/>
      <c r="C44" s="15" t="s">
        <v>552</v>
      </c>
      <c r="D44" s="14" t="s">
        <v>155</v>
      </c>
      <c r="E44" s="45">
        <v>95</v>
      </c>
      <c r="F44" s="19"/>
    </row>
    <row r="45" spans="1:6" ht="25.5" x14ac:dyDescent="0.2">
      <c r="A45" s="106" t="s">
        <v>455</v>
      </c>
      <c r="B45" s="1"/>
      <c r="C45" s="104" t="s">
        <v>255</v>
      </c>
      <c r="D45" s="1" t="s">
        <v>63</v>
      </c>
      <c r="E45" s="45">
        <v>50</v>
      </c>
      <c r="F45" s="19"/>
    </row>
    <row r="46" spans="1:6" ht="12.6" customHeight="1" x14ac:dyDescent="0.2">
      <c r="A46" s="106" t="s">
        <v>456</v>
      </c>
      <c r="B46" s="1"/>
      <c r="C46" s="104" t="s">
        <v>168</v>
      </c>
      <c r="D46" s="1" t="s">
        <v>64</v>
      </c>
      <c r="E46" s="45">
        <v>17</v>
      </c>
      <c r="F46" s="19"/>
    </row>
    <row r="47" spans="1:6" ht="39" customHeight="1" x14ac:dyDescent="0.2">
      <c r="A47" s="106" t="s">
        <v>457</v>
      </c>
      <c r="B47" s="1"/>
      <c r="C47" s="107" t="s">
        <v>414</v>
      </c>
      <c r="D47" s="1"/>
      <c r="E47" s="108">
        <f>SUM(E48:E61)</f>
        <v>540.70000000000005</v>
      </c>
      <c r="F47" s="108">
        <f>SUM(F48:F61)</f>
        <v>0</v>
      </c>
    </row>
    <row r="48" spans="1:6" ht="25.5" x14ac:dyDescent="0.2">
      <c r="A48" s="106" t="s">
        <v>458</v>
      </c>
      <c r="B48" s="1"/>
      <c r="C48" s="46" t="s">
        <v>150</v>
      </c>
      <c r="D48" s="1" t="s">
        <v>61</v>
      </c>
      <c r="E48" s="45">
        <v>89</v>
      </c>
      <c r="F48" s="19"/>
    </row>
    <row r="49" spans="1:7" x14ac:dyDescent="0.2">
      <c r="A49" s="106" t="s">
        <v>459</v>
      </c>
      <c r="B49" s="1"/>
      <c r="C49" s="37" t="s">
        <v>419</v>
      </c>
      <c r="D49" s="14" t="s">
        <v>155</v>
      </c>
      <c r="E49" s="45">
        <v>30</v>
      </c>
      <c r="F49" s="19"/>
    </row>
    <row r="50" spans="1:7" ht="25.5" x14ac:dyDescent="0.2">
      <c r="A50" s="106" t="s">
        <v>460</v>
      </c>
      <c r="B50" s="1"/>
      <c r="C50" s="109" t="s">
        <v>332</v>
      </c>
      <c r="D50" s="1" t="s">
        <v>61</v>
      </c>
      <c r="E50" s="45">
        <f>20-20</f>
        <v>0</v>
      </c>
      <c r="F50" s="19"/>
      <c r="G50" s="4"/>
    </row>
    <row r="51" spans="1:7" ht="25.5" x14ac:dyDescent="0.2">
      <c r="A51" s="106" t="s">
        <v>461</v>
      </c>
      <c r="B51" s="1"/>
      <c r="C51" s="104" t="s">
        <v>416</v>
      </c>
      <c r="D51" s="1" t="s">
        <v>60</v>
      </c>
      <c r="E51" s="45">
        <v>15.7</v>
      </c>
      <c r="F51" s="19"/>
    </row>
    <row r="52" spans="1:7" ht="25.5" x14ac:dyDescent="0.2">
      <c r="A52" s="106" t="s">
        <v>462</v>
      </c>
      <c r="B52" s="1"/>
      <c r="C52" s="110" t="s">
        <v>257</v>
      </c>
      <c r="D52" s="14" t="s">
        <v>155</v>
      </c>
      <c r="E52" s="45">
        <v>50</v>
      </c>
      <c r="F52" s="19"/>
    </row>
    <row r="53" spans="1:7" ht="25.5" x14ac:dyDescent="0.2">
      <c r="A53" s="106" t="s">
        <v>463</v>
      </c>
      <c r="B53" s="18"/>
      <c r="C53" s="46" t="s">
        <v>258</v>
      </c>
      <c r="D53" s="14" t="s">
        <v>155</v>
      </c>
      <c r="E53" s="25">
        <v>30</v>
      </c>
      <c r="F53" s="25"/>
    </row>
    <row r="54" spans="1:7" ht="25.5" x14ac:dyDescent="0.2">
      <c r="A54" s="106" t="s">
        <v>464</v>
      </c>
      <c r="B54" s="1"/>
      <c r="C54" s="104" t="s">
        <v>555</v>
      </c>
      <c r="D54" s="14" t="s">
        <v>155</v>
      </c>
      <c r="E54" s="45">
        <v>20</v>
      </c>
      <c r="F54" s="19"/>
    </row>
    <row r="55" spans="1:7" ht="25.5" x14ac:dyDescent="0.2">
      <c r="A55" s="106" t="s">
        <v>465</v>
      </c>
      <c r="B55" s="1"/>
      <c r="C55" s="104" t="s">
        <v>420</v>
      </c>
      <c r="D55" s="14" t="s">
        <v>32</v>
      </c>
      <c r="E55" s="45">
        <v>30</v>
      </c>
      <c r="F55" s="19"/>
    </row>
    <row r="56" spans="1:7" ht="25.5" x14ac:dyDescent="0.2">
      <c r="A56" s="106" t="s">
        <v>466</v>
      </c>
      <c r="B56" s="1"/>
      <c r="C56" s="104" t="s">
        <v>406</v>
      </c>
      <c r="D56" s="1" t="s">
        <v>58</v>
      </c>
      <c r="E56" s="45">
        <v>1</v>
      </c>
      <c r="F56" s="19"/>
    </row>
    <row r="57" spans="1:7" ht="31.5" customHeight="1" x14ac:dyDescent="0.2">
      <c r="A57" s="106" t="s">
        <v>467</v>
      </c>
      <c r="B57" s="1"/>
      <c r="C57" s="104" t="s">
        <v>622</v>
      </c>
      <c r="D57" s="14" t="s">
        <v>155</v>
      </c>
      <c r="E57" s="45">
        <v>18</v>
      </c>
      <c r="F57" s="19"/>
    </row>
    <row r="58" spans="1:7" x14ac:dyDescent="0.2">
      <c r="A58" s="106" t="s">
        <v>554</v>
      </c>
      <c r="B58" s="1"/>
      <c r="C58" s="104" t="s">
        <v>596</v>
      </c>
      <c r="D58" s="14" t="s">
        <v>155</v>
      </c>
      <c r="E58" s="45">
        <v>50</v>
      </c>
      <c r="F58" s="19"/>
    </row>
    <row r="59" spans="1:7" ht="31.5" customHeight="1" x14ac:dyDescent="0.2">
      <c r="A59" s="106" t="s">
        <v>607</v>
      </c>
      <c r="B59" s="1"/>
      <c r="C59" s="37" t="s">
        <v>597</v>
      </c>
      <c r="D59" s="1" t="s">
        <v>62</v>
      </c>
      <c r="E59" s="45">
        <f>5+2</f>
        <v>7</v>
      </c>
      <c r="F59" s="19"/>
      <c r="G59" s="4"/>
    </row>
    <row r="60" spans="1:7" ht="39" customHeight="1" x14ac:dyDescent="0.2">
      <c r="A60" s="106" t="s">
        <v>782</v>
      </c>
      <c r="B60" s="1"/>
      <c r="C60" s="37" t="s">
        <v>417</v>
      </c>
      <c r="D60" s="1" t="s">
        <v>58</v>
      </c>
      <c r="E60" s="45">
        <v>50</v>
      </c>
      <c r="F60" s="19"/>
      <c r="G60" s="4"/>
    </row>
    <row r="61" spans="1:7" ht="38.25" x14ac:dyDescent="0.2">
      <c r="A61" s="106" t="s">
        <v>783</v>
      </c>
      <c r="B61" s="1"/>
      <c r="C61" s="37" t="s">
        <v>418</v>
      </c>
      <c r="D61" s="1" t="s">
        <v>58</v>
      </c>
      <c r="E61" s="45">
        <v>150</v>
      </c>
      <c r="F61" s="19"/>
      <c r="G61" s="4"/>
    </row>
    <row r="62" spans="1:7" ht="20.100000000000001" customHeight="1" x14ac:dyDescent="0.2">
      <c r="A62" s="12">
        <v>32</v>
      </c>
      <c r="B62" s="11" t="s">
        <v>65</v>
      </c>
      <c r="C62" s="17" t="s">
        <v>66</v>
      </c>
      <c r="D62" s="9"/>
      <c r="E62" s="29">
        <f>+E63+E65</f>
        <v>937.1</v>
      </c>
      <c r="F62" s="29">
        <f>+F63+F65</f>
        <v>78.5</v>
      </c>
    </row>
    <row r="63" spans="1:7" ht="25.5" x14ac:dyDescent="0.2">
      <c r="A63" s="146">
        <v>33</v>
      </c>
      <c r="B63" s="11"/>
      <c r="C63" s="15" t="s">
        <v>169</v>
      </c>
      <c r="D63" s="158" t="s">
        <v>170</v>
      </c>
      <c r="E63" s="19">
        <f>+E64+81.6</f>
        <v>97.6</v>
      </c>
      <c r="F63" s="19">
        <v>78.5</v>
      </c>
    </row>
    <row r="64" spans="1:7" ht="25.5" x14ac:dyDescent="0.2">
      <c r="A64" s="150"/>
      <c r="B64" s="11"/>
      <c r="C64" s="64" t="s">
        <v>394</v>
      </c>
      <c r="D64" s="159"/>
      <c r="E64" s="19">
        <v>16</v>
      </c>
      <c r="F64" s="19"/>
    </row>
    <row r="65" spans="1:6" ht="12.6" customHeight="1" x14ac:dyDescent="0.2">
      <c r="A65" s="12">
        <v>34</v>
      </c>
      <c r="B65" s="1"/>
      <c r="C65" s="16" t="s">
        <v>167</v>
      </c>
      <c r="D65" s="14"/>
      <c r="E65" s="19">
        <f>SUM(E66:E84)+E85</f>
        <v>839.5</v>
      </c>
      <c r="F65" s="19">
        <f>SUM(F66:F84)</f>
        <v>0</v>
      </c>
    </row>
    <row r="66" spans="1:6" ht="12.6" customHeight="1" x14ac:dyDescent="0.2">
      <c r="A66" s="106" t="s">
        <v>468</v>
      </c>
      <c r="B66" s="1"/>
      <c r="C66" s="102" t="s">
        <v>3</v>
      </c>
      <c r="D66" s="1" t="s">
        <v>109</v>
      </c>
      <c r="E66" s="19">
        <v>3</v>
      </c>
      <c r="F66" s="19"/>
    </row>
    <row r="67" spans="1:6" ht="42" customHeight="1" x14ac:dyDescent="0.2">
      <c r="A67" s="106" t="s">
        <v>469</v>
      </c>
      <c r="B67" s="1"/>
      <c r="C67" s="111" t="s">
        <v>333</v>
      </c>
      <c r="D67" s="14" t="s">
        <v>67</v>
      </c>
      <c r="E67" s="19">
        <v>20</v>
      </c>
      <c r="F67" s="19"/>
    </row>
    <row r="68" spans="1:6" ht="30" customHeight="1" x14ac:dyDescent="0.2">
      <c r="A68" s="106" t="s">
        <v>470</v>
      </c>
      <c r="B68" s="1"/>
      <c r="C68" s="112" t="s">
        <v>421</v>
      </c>
      <c r="D68" s="14" t="s">
        <v>68</v>
      </c>
      <c r="E68" s="19">
        <v>1.8</v>
      </c>
      <c r="F68" s="19"/>
    </row>
    <row r="69" spans="1:6" ht="38.25" x14ac:dyDescent="0.2">
      <c r="A69" s="106" t="s">
        <v>471</v>
      </c>
      <c r="B69" s="1"/>
      <c r="C69" s="111" t="s">
        <v>422</v>
      </c>
      <c r="D69" s="14" t="s">
        <v>127</v>
      </c>
      <c r="E69" s="19">
        <v>65</v>
      </c>
      <c r="F69" s="19"/>
    </row>
    <row r="70" spans="1:6" ht="45" customHeight="1" x14ac:dyDescent="0.2">
      <c r="A70" s="106" t="s">
        <v>472</v>
      </c>
      <c r="B70" s="1"/>
      <c r="C70" s="111" t="s">
        <v>171</v>
      </c>
      <c r="D70" s="14" t="s">
        <v>178</v>
      </c>
      <c r="E70" s="19">
        <v>7</v>
      </c>
      <c r="F70" s="19"/>
    </row>
    <row r="71" spans="1:6" ht="25.5" x14ac:dyDescent="0.2">
      <c r="A71" s="106" t="s">
        <v>473</v>
      </c>
      <c r="B71" s="1"/>
      <c r="C71" s="111" t="s">
        <v>202</v>
      </c>
      <c r="D71" s="14" t="s">
        <v>68</v>
      </c>
      <c r="E71" s="19">
        <v>21.1</v>
      </c>
      <c r="F71" s="19"/>
    </row>
    <row r="72" spans="1:6" ht="25.5" x14ac:dyDescent="0.2">
      <c r="A72" s="106" t="s">
        <v>474</v>
      </c>
      <c r="B72" s="1"/>
      <c r="C72" s="111" t="s">
        <v>253</v>
      </c>
      <c r="D72" s="14" t="s">
        <v>68</v>
      </c>
      <c r="E72" s="19">
        <v>19.100000000000001</v>
      </c>
      <c r="F72" s="19"/>
    </row>
    <row r="73" spans="1:6" ht="27.6" customHeight="1" x14ac:dyDescent="0.2">
      <c r="A73" s="106" t="s">
        <v>475</v>
      </c>
      <c r="B73" s="1"/>
      <c r="C73" s="112" t="s">
        <v>334</v>
      </c>
      <c r="D73" s="14" t="s">
        <v>178</v>
      </c>
      <c r="E73" s="19">
        <v>25.9</v>
      </c>
      <c r="F73" s="19"/>
    </row>
    <row r="74" spans="1:6" ht="27.6" customHeight="1" x14ac:dyDescent="0.2">
      <c r="A74" s="106" t="s">
        <v>476</v>
      </c>
      <c r="B74" s="1"/>
      <c r="C74" s="112" t="s">
        <v>335</v>
      </c>
      <c r="D74" s="14" t="s">
        <v>178</v>
      </c>
      <c r="E74" s="19">
        <v>28.5</v>
      </c>
      <c r="F74" s="19"/>
    </row>
    <row r="75" spans="1:6" ht="25.5" x14ac:dyDescent="0.2">
      <c r="A75" s="106" t="s">
        <v>477</v>
      </c>
      <c r="B75" s="1"/>
      <c r="C75" s="112" t="s">
        <v>423</v>
      </c>
      <c r="D75" s="14" t="s">
        <v>198</v>
      </c>
      <c r="E75" s="19">
        <v>4.8</v>
      </c>
      <c r="F75" s="19"/>
    </row>
    <row r="76" spans="1:6" ht="25.5" x14ac:dyDescent="0.2">
      <c r="A76" s="106" t="s">
        <v>478</v>
      </c>
      <c r="B76" s="1"/>
      <c r="C76" s="112" t="s">
        <v>531</v>
      </c>
      <c r="D76" s="14" t="s">
        <v>178</v>
      </c>
      <c r="E76" s="19">
        <v>122.1</v>
      </c>
      <c r="F76" s="19"/>
    </row>
    <row r="77" spans="1:6" ht="38.25" x14ac:dyDescent="0.2">
      <c r="A77" s="106" t="s">
        <v>479</v>
      </c>
      <c r="B77" s="1"/>
      <c r="C77" s="111" t="s">
        <v>424</v>
      </c>
      <c r="D77" s="14" t="s">
        <v>67</v>
      </c>
      <c r="E77" s="19">
        <v>15</v>
      </c>
      <c r="F77" s="19"/>
    </row>
    <row r="78" spans="1:6" ht="25.5" x14ac:dyDescent="0.2">
      <c r="A78" s="106" t="s">
        <v>480</v>
      </c>
      <c r="B78" s="1"/>
      <c r="C78" s="111" t="s">
        <v>625</v>
      </c>
      <c r="D78" s="14" t="s">
        <v>69</v>
      </c>
      <c r="E78" s="19">
        <v>3</v>
      </c>
      <c r="F78" s="19"/>
    </row>
    <row r="79" spans="1:6" ht="25.5" x14ac:dyDescent="0.2">
      <c r="A79" s="106" t="s">
        <v>481</v>
      </c>
      <c r="B79" s="1"/>
      <c r="C79" s="111" t="s">
        <v>626</v>
      </c>
      <c r="D79" s="113" t="s">
        <v>109</v>
      </c>
      <c r="E79" s="19">
        <v>120</v>
      </c>
      <c r="F79" s="19"/>
    </row>
    <row r="80" spans="1:6" ht="38.25" x14ac:dyDescent="0.2">
      <c r="A80" s="106" t="s">
        <v>630</v>
      </c>
      <c r="B80" s="1"/>
      <c r="C80" s="111" t="s">
        <v>692</v>
      </c>
      <c r="D80" s="113" t="s">
        <v>109</v>
      </c>
      <c r="E80" s="19">
        <v>105.1</v>
      </c>
      <c r="F80" s="19"/>
    </row>
    <row r="81" spans="1:10" ht="25.5" x14ac:dyDescent="0.2">
      <c r="A81" s="106" t="s">
        <v>631</v>
      </c>
      <c r="B81" s="1"/>
      <c r="C81" s="111" t="s">
        <v>627</v>
      </c>
      <c r="D81" s="113" t="s">
        <v>68</v>
      </c>
      <c r="E81" s="19">
        <v>53.3</v>
      </c>
      <c r="F81" s="19"/>
    </row>
    <row r="82" spans="1:10" ht="38.25" x14ac:dyDescent="0.2">
      <c r="A82" s="106" t="s">
        <v>632</v>
      </c>
      <c r="B82" s="1"/>
      <c r="C82" s="111" t="s">
        <v>628</v>
      </c>
      <c r="D82" s="113" t="s">
        <v>109</v>
      </c>
      <c r="E82" s="19">
        <v>50.7</v>
      </c>
      <c r="F82" s="19"/>
    </row>
    <row r="83" spans="1:10" ht="38.25" x14ac:dyDescent="0.2">
      <c r="A83" s="106" t="s">
        <v>633</v>
      </c>
      <c r="B83" s="1"/>
      <c r="C83" s="111" t="s">
        <v>629</v>
      </c>
      <c r="D83" s="113" t="s">
        <v>109</v>
      </c>
      <c r="E83" s="19">
        <v>37.700000000000003</v>
      </c>
      <c r="F83" s="19"/>
    </row>
    <row r="84" spans="1:10" ht="29.25" customHeight="1" x14ac:dyDescent="0.2">
      <c r="A84" s="106" t="s">
        <v>634</v>
      </c>
      <c r="B84" s="1"/>
      <c r="C84" s="114" t="s">
        <v>252</v>
      </c>
      <c r="D84" s="105" t="s">
        <v>69</v>
      </c>
      <c r="E84" s="115">
        <v>132.4</v>
      </c>
      <c r="F84" s="115"/>
    </row>
    <row r="85" spans="1:10" ht="38.450000000000003" customHeight="1" x14ac:dyDescent="0.2">
      <c r="A85" s="106" t="s">
        <v>635</v>
      </c>
      <c r="B85" s="1"/>
      <c r="C85" s="107" t="s">
        <v>414</v>
      </c>
      <c r="D85" s="14"/>
      <c r="E85" s="108">
        <f>+E86+E87</f>
        <v>4</v>
      </c>
      <c r="F85" s="108">
        <f>+F86+F87</f>
        <v>0</v>
      </c>
    </row>
    <row r="86" spans="1:10" ht="25.5" x14ac:dyDescent="0.2">
      <c r="A86" s="106" t="s">
        <v>636</v>
      </c>
      <c r="B86" s="1"/>
      <c r="C86" s="111" t="s">
        <v>180</v>
      </c>
      <c r="D86" s="14" t="s">
        <v>127</v>
      </c>
      <c r="E86" s="19">
        <v>0.6</v>
      </c>
      <c r="F86" s="19"/>
    </row>
    <row r="87" spans="1:10" ht="25.5" x14ac:dyDescent="0.2">
      <c r="A87" s="106" t="s">
        <v>637</v>
      </c>
      <c r="B87" s="1"/>
      <c r="C87" s="37" t="s">
        <v>172</v>
      </c>
      <c r="D87" s="14" t="s">
        <v>68</v>
      </c>
      <c r="E87" s="19">
        <v>3.4</v>
      </c>
      <c r="F87" s="19"/>
    </row>
    <row r="88" spans="1:10" ht="21.75" customHeight="1" x14ac:dyDescent="0.2">
      <c r="A88" s="12">
        <v>35</v>
      </c>
      <c r="B88" s="11" t="s">
        <v>21</v>
      </c>
      <c r="C88" s="17" t="s">
        <v>22</v>
      </c>
      <c r="D88" s="9"/>
      <c r="E88" s="29">
        <f>+E89+E92+E93+E94+E95+E96+E117+E119+E121+E122+E124+E126+E127+E129+E131+E133+E135</f>
        <v>12780.2</v>
      </c>
      <c r="F88" s="29">
        <f>+F89+F92+F93+F94+F95+F96+F117+F119+F121+F122+F124+F126+F127+F129+F131+F133+F135</f>
        <v>3282.7000000000003</v>
      </c>
    </row>
    <row r="89" spans="1:10" ht="12.6" customHeight="1" x14ac:dyDescent="0.2">
      <c r="A89" s="160">
        <v>36</v>
      </c>
      <c r="B89" s="161"/>
      <c r="C89" s="102" t="s">
        <v>1</v>
      </c>
      <c r="D89" s="162" t="s">
        <v>70</v>
      </c>
      <c r="E89" s="19">
        <f>1378.8-60.9</f>
        <v>1317.8999999999999</v>
      </c>
      <c r="F89" s="19">
        <f>1078-60</f>
        <v>1018</v>
      </c>
    </row>
    <row r="90" spans="1:10" ht="12.6" customHeight="1" x14ac:dyDescent="0.2">
      <c r="A90" s="160"/>
      <c r="B90" s="161"/>
      <c r="C90" s="116" t="s">
        <v>415</v>
      </c>
      <c r="D90" s="162"/>
      <c r="E90" s="19">
        <f>201.9+12.4</f>
        <v>214.3</v>
      </c>
      <c r="F90" s="19"/>
      <c r="G90" s="86"/>
      <c r="J90" s="86"/>
    </row>
    <row r="91" spans="1:10" ht="12.6" customHeight="1" x14ac:dyDescent="0.2">
      <c r="A91" s="160"/>
      <c r="B91" s="161"/>
      <c r="C91" s="64" t="s">
        <v>181</v>
      </c>
      <c r="D91" s="162"/>
      <c r="E91" s="19">
        <v>10</v>
      </c>
      <c r="F91" s="19"/>
    </row>
    <row r="92" spans="1:10" ht="12.6" customHeight="1" x14ac:dyDescent="0.2">
      <c r="A92" s="12">
        <v>37</v>
      </c>
      <c r="B92" s="1"/>
      <c r="C92" s="117" t="s">
        <v>2</v>
      </c>
      <c r="D92" s="65" t="s">
        <v>71</v>
      </c>
      <c r="E92" s="19">
        <f>335.7-7</f>
        <v>328.7</v>
      </c>
      <c r="F92" s="19">
        <f>216.2-6.9</f>
        <v>209.29999999999998</v>
      </c>
    </row>
    <row r="93" spans="1:10" ht="12.6" customHeight="1" x14ac:dyDescent="0.2">
      <c r="A93" s="12">
        <v>38</v>
      </c>
      <c r="B93" s="1"/>
      <c r="C93" s="63" t="s">
        <v>15</v>
      </c>
      <c r="D93" s="14" t="s">
        <v>103</v>
      </c>
      <c r="E93" s="19">
        <f>352.1-12.7</f>
        <v>339.40000000000003</v>
      </c>
      <c r="F93" s="25">
        <f>296.6-12.5</f>
        <v>284.10000000000002</v>
      </c>
    </row>
    <row r="94" spans="1:10" ht="12.6" customHeight="1" x14ac:dyDescent="0.2">
      <c r="A94" s="12">
        <v>39</v>
      </c>
      <c r="B94" s="1"/>
      <c r="C94" s="63" t="s">
        <v>19</v>
      </c>
      <c r="D94" s="23" t="s">
        <v>71</v>
      </c>
      <c r="E94" s="19">
        <f>395.5+2.4-9.5</f>
        <v>388.4</v>
      </c>
      <c r="F94" s="19">
        <f>318.9-9.4</f>
        <v>309.5</v>
      </c>
    </row>
    <row r="95" spans="1:10" ht="12.6" customHeight="1" x14ac:dyDescent="0.2">
      <c r="A95" s="12">
        <v>40</v>
      </c>
      <c r="B95" s="1"/>
      <c r="C95" s="102" t="s">
        <v>148</v>
      </c>
      <c r="D95" s="65" t="s">
        <v>23</v>
      </c>
      <c r="E95" s="19">
        <f>1498.1-57.1</f>
        <v>1441</v>
      </c>
      <c r="F95" s="19">
        <f>1084.8-56.3</f>
        <v>1028.5</v>
      </c>
    </row>
    <row r="96" spans="1:10" ht="12" customHeight="1" x14ac:dyDescent="0.2">
      <c r="A96" s="12">
        <v>41</v>
      </c>
      <c r="B96" s="1"/>
      <c r="C96" s="16" t="s">
        <v>167</v>
      </c>
      <c r="D96" s="1"/>
      <c r="E96" s="45">
        <f>+E98+E99+E100+E101+E102+E103+E104+E105+E106+E107+E108+E109+E110+E112+E97+E111</f>
        <v>3592.4</v>
      </c>
      <c r="F96" s="45">
        <f>+F98+F99+F100+F101+F102+F103+F104+F105+F106+F107+F108+F109+F110+F112+F97</f>
        <v>68.8</v>
      </c>
    </row>
    <row r="97" spans="1:6" ht="63.75" x14ac:dyDescent="0.2">
      <c r="A97" s="106" t="s">
        <v>482</v>
      </c>
      <c r="B97" s="1"/>
      <c r="C97" s="16" t="s">
        <v>3</v>
      </c>
      <c r="D97" s="23" t="s">
        <v>407</v>
      </c>
      <c r="E97" s="19">
        <v>1467.9</v>
      </c>
      <c r="F97" s="19">
        <v>68.8</v>
      </c>
    </row>
    <row r="98" spans="1:6" ht="27.6" customHeight="1" x14ac:dyDescent="0.2">
      <c r="A98" s="106" t="s">
        <v>483</v>
      </c>
      <c r="B98" s="1"/>
      <c r="C98" s="109" t="s">
        <v>336</v>
      </c>
      <c r="D98" s="118" t="s">
        <v>72</v>
      </c>
      <c r="E98" s="19">
        <v>75</v>
      </c>
      <c r="F98" s="19"/>
    </row>
    <row r="99" spans="1:6" ht="26.25" customHeight="1" x14ac:dyDescent="0.2">
      <c r="A99" s="106" t="s">
        <v>484</v>
      </c>
      <c r="B99" s="1"/>
      <c r="C99" s="111" t="s">
        <v>337</v>
      </c>
      <c r="D99" s="118" t="s">
        <v>72</v>
      </c>
      <c r="E99" s="19">
        <v>240</v>
      </c>
      <c r="F99" s="19"/>
    </row>
    <row r="100" spans="1:6" ht="28.5" customHeight="1" x14ac:dyDescent="0.2">
      <c r="A100" s="106" t="s">
        <v>485</v>
      </c>
      <c r="B100" s="1"/>
      <c r="C100" s="46" t="s">
        <v>338</v>
      </c>
      <c r="D100" s="1" t="s">
        <v>107</v>
      </c>
      <c r="E100" s="25">
        <v>58.5</v>
      </c>
      <c r="F100" s="25"/>
    </row>
    <row r="101" spans="1:6" ht="12.6" customHeight="1" x14ac:dyDescent="0.2">
      <c r="A101" s="106" t="s">
        <v>486</v>
      </c>
      <c r="B101" s="1"/>
      <c r="C101" s="46" t="s">
        <v>339</v>
      </c>
      <c r="D101" s="65" t="s">
        <v>73</v>
      </c>
      <c r="E101" s="19">
        <v>153.5</v>
      </c>
      <c r="F101" s="19"/>
    </row>
    <row r="102" spans="1:6" ht="26.25" customHeight="1" x14ac:dyDescent="0.2">
      <c r="A102" s="106" t="s">
        <v>487</v>
      </c>
      <c r="B102" s="1"/>
      <c r="C102" s="46" t="s">
        <v>340</v>
      </c>
      <c r="D102" s="118" t="s">
        <v>73</v>
      </c>
      <c r="E102" s="19">
        <v>170</v>
      </c>
      <c r="F102" s="19"/>
    </row>
    <row r="103" spans="1:6" ht="39" customHeight="1" x14ac:dyDescent="0.2">
      <c r="A103" s="106" t="s">
        <v>488</v>
      </c>
      <c r="B103" s="1"/>
      <c r="C103" s="46" t="s">
        <v>341</v>
      </c>
      <c r="D103" s="118" t="s">
        <v>74</v>
      </c>
      <c r="E103" s="25">
        <f>807-99.8</f>
        <v>707.2</v>
      </c>
      <c r="F103" s="25"/>
    </row>
    <row r="104" spans="1:6" ht="38.25" x14ac:dyDescent="0.2">
      <c r="A104" s="106" t="s">
        <v>489</v>
      </c>
      <c r="B104" s="1"/>
      <c r="C104" s="46" t="s">
        <v>619</v>
      </c>
      <c r="D104" s="1" t="s">
        <v>75</v>
      </c>
      <c r="E104" s="25">
        <v>90</v>
      </c>
      <c r="F104" s="25"/>
    </row>
    <row r="105" spans="1:6" ht="25.5" x14ac:dyDescent="0.2">
      <c r="A105" s="106" t="s">
        <v>490</v>
      </c>
      <c r="B105" s="1"/>
      <c r="C105" s="46" t="s">
        <v>426</v>
      </c>
      <c r="D105" s="1" t="s">
        <v>529</v>
      </c>
      <c r="E105" s="25">
        <v>15</v>
      </c>
      <c r="F105" s="25"/>
    </row>
    <row r="106" spans="1:6" ht="25.5" x14ac:dyDescent="0.2">
      <c r="A106" s="106" t="s">
        <v>491</v>
      </c>
      <c r="B106" s="1"/>
      <c r="C106" s="46" t="s">
        <v>427</v>
      </c>
      <c r="D106" s="1" t="s">
        <v>529</v>
      </c>
      <c r="E106" s="25">
        <v>10</v>
      </c>
      <c r="F106" s="25"/>
    </row>
    <row r="107" spans="1:6" x14ac:dyDescent="0.2">
      <c r="A107" s="106" t="s">
        <v>492</v>
      </c>
      <c r="B107" s="1"/>
      <c r="C107" s="46" t="s">
        <v>187</v>
      </c>
      <c r="D107" s="65" t="s">
        <v>23</v>
      </c>
      <c r="E107" s="25">
        <v>117.1</v>
      </c>
      <c r="F107" s="25"/>
    </row>
    <row r="108" spans="1:6" ht="25.5" x14ac:dyDescent="0.2">
      <c r="A108" s="106" t="s">
        <v>493</v>
      </c>
      <c r="B108" s="1"/>
      <c r="C108" s="46" t="s">
        <v>256</v>
      </c>
      <c r="D108" s="65" t="s">
        <v>23</v>
      </c>
      <c r="E108" s="25">
        <v>30</v>
      </c>
      <c r="F108" s="25"/>
    </row>
    <row r="109" spans="1:6" ht="25.5" x14ac:dyDescent="0.2">
      <c r="A109" s="106" t="s">
        <v>494</v>
      </c>
      <c r="B109" s="1"/>
      <c r="C109" s="46" t="s">
        <v>425</v>
      </c>
      <c r="D109" s="65" t="s">
        <v>31</v>
      </c>
      <c r="E109" s="25">
        <v>18.399999999999999</v>
      </c>
      <c r="F109" s="25"/>
    </row>
    <row r="110" spans="1:6" ht="38.25" x14ac:dyDescent="0.2">
      <c r="A110" s="106" t="s">
        <v>495</v>
      </c>
      <c r="B110" s="1"/>
      <c r="C110" s="46" t="s">
        <v>428</v>
      </c>
      <c r="D110" s="65" t="s">
        <v>529</v>
      </c>
      <c r="E110" s="25">
        <v>10.8</v>
      </c>
      <c r="F110" s="25"/>
    </row>
    <row r="111" spans="1:6" x14ac:dyDescent="0.2">
      <c r="A111" s="106" t="s">
        <v>496</v>
      </c>
      <c r="B111" s="1"/>
      <c r="C111" s="46" t="s">
        <v>590</v>
      </c>
      <c r="D111" s="65" t="s">
        <v>529</v>
      </c>
      <c r="E111" s="25">
        <v>2</v>
      </c>
      <c r="F111" s="25"/>
    </row>
    <row r="112" spans="1:6" ht="39" customHeight="1" x14ac:dyDescent="0.2">
      <c r="A112" s="106" t="s">
        <v>591</v>
      </c>
      <c r="B112" s="1"/>
      <c r="C112" s="107" t="s">
        <v>414</v>
      </c>
      <c r="D112" s="11"/>
      <c r="E112" s="119">
        <f>SUM(E113:E116)</f>
        <v>427</v>
      </c>
      <c r="F112" s="119">
        <f>SUM(F113:F115)</f>
        <v>0</v>
      </c>
    </row>
    <row r="113" spans="1:10" ht="12.6" customHeight="1" x14ac:dyDescent="0.2">
      <c r="A113" s="106" t="s">
        <v>592</v>
      </c>
      <c r="B113" s="1"/>
      <c r="C113" s="46" t="s">
        <v>151</v>
      </c>
      <c r="D113" s="1" t="s">
        <v>88</v>
      </c>
      <c r="E113" s="25">
        <v>220</v>
      </c>
      <c r="F113" s="25"/>
    </row>
    <row r="114" spans="1:10" ht="25.5" x14ac:dyDescent="0.2">
      <c r="A114" s="106" t="s">
        <v>593</v>
      </c>
      <c r="B114" s="1"/>
      <c r="C114" s="46" t="s">
        <v>342</v>
      </c>
      <c r="D114" s="14" t="s">
        <v>179</v>
      </c>
      <c r="E114" s="25">
        <v>150</v>
      </c>
      <c r="F114" s="25"/>
    </row>
    <row r="115" spans="1:10" ht="25.5" x14ac:dyDescent="0.2">
      <c r="A115" s="106" t="s">
        <v>594</v>
      </c>
      <c r="B115" s="1"/>
      <c r="C115" s="46" t="s">
        <v>188</v>
      </c>
      <c r="D115" s="1" t="s">
        <v>75</v>
      </c>
      <c r="E115" s="25">
        <v>42</v>
      </c>
      <c r="F115" s="25"/>
    </row>
    <row r="116" spans="1:10" ht="25.5" x14ac:dyDescent="0.2">
      <c r="A116" s="106" t="s">
        <v>595</v>
      </c>
      <c r="B116" s="44"/>
      <c r="C116" s="37" t="s">
        <v>553</v>
      </c>
      <c r="D116" s="1" t="s">
        <v>88</v>
      </c>
      <c r="E116" s="25">
        <v>15</v>
      </c>
      <c r="F116" s="25"/>
    </row>
    <row r="117" spans="1:10" ht="51" x14ac:dyDescent="0.2">
      <c r="A117" s="146">
        <v>42</v>
      </c>
      <c r="B117" s="148"/>
      <c r="C117" s="15" t="s">
        <v>8</v>
      </c>
      <c r="D117" s="14" t="s">
        <v>543</v>
      </c>
      <c r="E117" s="19">
        <f>1753.6+E118</f>
        <v>1775.6999999999998</v>
      </c>
      <c r="F117" s="19">
        <f>108+F118</f>
        <v>129.80000000000001</v>
      </c>
    </row>
    <row r="118" spans="1:10" x14ac:dyDescent="0.2">
      <c r="A118" s="147"/>
      <c r="B118" s="149"/>
      <c r="C118" s="15" t="s">
        <v>268</v>
      </c>
      <c r="D118" s="14" t="s">
        <v>39</v>
      </c>
      <c r="E118" s="19">
        <v>22.1</v>
      </c>
      <c r="F118" s="19">
        <v>21.8</v>
      </c>
      <c r="J118" s="59"/>
    </row>
    <row r="119" spans="1:10" ht="54" customHeight="1" x14ac:dyDescent="0.2">
      <c r="A119" s="146">
        <v>43</v>
      </c>
      <c r="B119" s="148"/>
      <c r="C119" s="15" t="s">
        <v>4</v>
      </c>
      <c r="D119" s="14" t="s">
        <v>544</v>
      </c>
      <c r="E119" s="19">
        <f>692.6+E120</f>
        <v>700</v>
      </c>
      <c r="F119" s="19">
        <f>32+F120</f>
        <v>39.299999999999997</v>
      </c>
    </row>
    <row r="120" spans="1:10" x14ac:dyDescent="0.2">
      <c r="A120" s="147"/>
      <c r="B120" s="149"/>
      <c r="C120" s="15" t="s">
        <v>268</v>
      </c>
      <c r="D120" s="14" t="s">
        <v>39</v>
      </c>
      <c r="E120" s="19">
        <v>7.4</v>
      </c>
      <c r="F120" s="19">
        <v>7.3</v>
      </c>
    </row>
    <row r="121" spans="1:10" ht="39.75" customHeight="1" x14ac:dyDescent="0.2">
      <c r="A121" s="12">
        <v>44</v>
      </c>
      <c r="B121" s="1"/>
      <c r="C121" s="15" t="s">
        <v>5</v>
      </c>
      <c r="D121" s="14" t="s">
        <v>114</v>
      </c>
      <c r="E121" s="19">
        <v>380</v>
      </c>
      <c r="F121" s="19">
        <v>13.2</v>
      </c>
    </row>
    <row r="122" spans="1:10" ht="51" customHeight="1" x14ac:dyDescent="0.2">
      <c r="A122" s="146">
        <v>45</v>
      </c>
      <c r="B122" s="148"/>
      <c r="C122" s="15" t="s">
        <v>7</v>
      </c>
      <c r="D122" s="14" t="s">
        <v>544</v>
      </c>
      <c r="E122" s="19">
        <f>329.4+E123</f>
        <v>333.09999999999997</v>
      </c>
      <c r="F122" s="19">
        <f>18+F123</f>
        <v>21.6</v>
      </c>
    </row>
    <row r="123" spans="1:10" x14ac:dyDescent="0.2">
      <c r="A123" s="147"/>
      <c r="B123" s="149"/>
      <c r="C123" s="15" t="s">
        <v>268</v>
      </c>
      <c r="D123" s="14" t="s">
        <v>39</v>
      </c>
      <c r="E123" s="19">
        <v>3.7</v>
      </c>
      <c r="F123" s="19">
        <v>3.6</v>
      </c>
    </row>
    <row r="124" spans="1:10" ht="50.25" customHeight="1" x14ac:dyDescent="0.2">
      <c r="A124" s="146">
        <v>46</v>
      </c>
      <c r="B124" s="148"/>
      <c r="C124" s="15" t="s">
        <v>6</v>
      </c>
      <c r="D124" s="14" t="s">
        <v>544</v>
      </c>
      <c r="E124" s="19">
        <f>357.4+E125</f>
        <v>361.09999999999997</v>
      </c>
      <c r="F124" s="19">
        <f>27.8+F125</f>
        <v>31.400000000000002</v>
      </c>
    </row>
    <row r="125" spans="1:10" x14ac:dyDescent="0.2">
      <c r="A125" s="147"/>
      <c r="B125" s="149"/>
      <c r="C125" s="15" t="s">
        <v>268</v>
      </c>
      <c r="D125" s="14" t="s">
        <v>39</v>
      </c>
      <c r="E125" s="19">
        <v>3.7</v>
      </c>
      <c r="F125" s="19">
        <v>3.6</v>
      </c>
    </row>
    <row r="126" spans="1:10" ht="40.5" customHeight="1" x14ac:dyDescent="0.2">
      <c r="A126" s="103">
        <v>47</v>
      </c>
      <c r="B126" s="44"/>
      <c r="C126" s="15" t="s">
        <v>9</v>
      </c>
      <c r="D126" s="14" t="s">
        <v>546</v>
      </c>
      <c r="E126" s="19">
        <f>426.9</f>
        <v>426.9</v>
      </c>
      <c r="F126" s="19">
        <f>17.6</f>
        <v>17.600000000000001</v>
      </c>
    </row>
    <row r="127" spans="1:10" ht="51.75" customHeight="1" x14ac:dyDescent="0.2">
      <c r="A127" s="146">
        <v>48</v>
      </c>
      <c r="B127" s="148"/>
      <c r="C127" s="16" t="s">
        <v>10</v>
      </c>
      <c r="D127" s="14" t="s">
        <v>544</v>
      </c>
      <c r="E127" s="19">
        <f>323.6+E128</f>
        <v>327.3</v>
      </c>
      <c r="F127" s="19">
        <f>14.8+F128</f>
        <v>18.400000000000002</v>
      </c>
    </row>
    <row r="128" spans="1:10" x14ac:dyDescent="0.2">
      <c r="A128" s="147"/>
      <c r="B128" s="149"/>
      <c r="C128" s="15" t="s">
        <v>268</v>
      </c>
      <c r="D128" s="14" t="s">
        <v>39</v>
      </c>
      <c r="E128" s="19">
        <v>3.7</v>
      </c>
      <c r="F128" s="19">
        <v>3.6</v>
      </c>
    </row>
    <row r="129" spans="1:6" ht="52.5" customHeight="1" x14ac:dyDescent="0.2">
      <c r="A129" s="146">
        <v>49</v>
      </c>
      <c r="B129" s="148"/>
      <c r="C129" s="15" t="s">
        <v>12</v>
      </c>
      <c r="D129" s="14" t="s">
        <v>544</v>
      </c>
      <c r="E129" s="19">
        <f>302.6+E130</f>
        <v>306.3</v>
      </c>
      <c r="F129" s="19">
        <f>14.3+F130</f>
        <v>17.900000000000002</v>
      </c>
    </row>
    <row r="130" spans="1:6" x14ac:dyDescent="0.2">
      <c r="A130" s="147"/>
      <c r="B130" s="149"/>
      <c r="C130" s="15" t="s">
        <v>268</v>
      </c>
      <c r="D130" s="14" t="s">
        <v>39</v>
      </c>
      <c r="E130" s="19">
        <v>3.7</v>
      </c>
      <c r="F130" s="19">
        <v>3.6</v>
      </c>
    </row>
    <row r="131" spans="1:6" ht="51" x14ac:dyDescent="0.2">
      <c r="A131" s="146">
        <v>50</v>
      </c>
      <c r="B131" s="148"/>
      <c r="C131" s="15" t="s">
        <v>11</v>
      </c>
      <c r="D131" s="14" t="s">
        <v>544</v>
      </c>
      <c r="E131" s="19">
        <f>344.5+E132</f>
        <v>348.2</v>
      </c>
      <c r="F131" s="19">
        <f>18.5+F132</f>
        <v>22.1</v>
      </c>
    </row>
    <row r="132" spans="1:6" x14ac:dyDescent="0.2">
      <c r="A132" s="147"/>
      <c r="B132" s="149"/>
      <c r="C132" s="15" t="s">
        <v>268</v>
      </c>
      <c r="D132" s="14" t="s">
        <v>39</v>
      </c>
      <c r="E132" s="19">
        <v>3.7</v>
      </c>
      <c r="F132" s="19">
        <v>3.6</v>
      </c>
    </row>
    <row r="133" spans="1:6" ht="53.25" customHeight="1" x14ac:dyDescent="0.2">
      <c r="A133" s="163">
        <v>51</v>
      </c>
      <c r="B133" s="148"/>
      <c r="C133" s="15" t="s">
        <v>13</v>
      </c>
      <c r="D133" s="14" t="s">
        <v>544</v>
      </c>
      <c r="E133" s="19">
        <f>170.5+E134</f>
        <v>174.2</v>
      </c>
      <c r="F133" s="19">
        <f>15.6+F134</f>
        <v>19.2</v>
      </c>
    </row>
    <row r="134" spans="1:6" x14ac:dyDescent="0.2">
      <c r="A134" s="164"/>
      <c r="B134" s="149"/>
      <c r="C134" s="15" t="s">
        <v>268</v>
      </c>
      <c r="D134" s="14" t="s">
        <v>39</v>
      </c>
      <c r="E134" s="19">
        <v>3.7</v>
      </c>
      <c r="F134" s="19">
        <v>3.6</v>
      </c>
    </row>
    <row r="135" spans="1:6" ht="54" customHeight="1" x14ac:dyDescent="0.2">
      <c r="A135" s="146">
        <v>52</v>
      </c>
      <c r="B135" s="148"/>
      <c r="C135" s="15" t="s">
        <v>14</v>
      </c>
      <c r="D135" s="14" t="s">
        <v>544</v>
      </c>
      <c r="E135" s="19">
        <f>232.2+E136</f>
        <v>239.6</v>
      </c>
      <c r="F135" s="19">
        <f>26.7+F136</f>
        <v>34</v>
      </c>
    </row>
    <row r="136" spans="1:6" x14ac:dyDescent="0.2">
      <c r="A136" s="147"/>
      <c r="B136" s="149"/>
      <c r="C136" s="15" t="s">
        <v>268</v>
      </c>
      <c r="D136" s="14" t="s">
        <v>39</v>
      </c>
      <c r="E136" s="19">
        <v>7.4</v>
      </c>
      <c r="F136" s="19">
        <v>7.3</v>
      </c>
    </row>
    <row r="137" spans="1:6" ht="20.100000000000001" customHeight="1" x14ac:dyDescent="0.2">
      <c r="A137" s="12">
        <v>53</v>
      </c>
      <c r="B137" s="11" t="s">
        <v>76</v>
      </c>
      <c r="C137" s="17" t="s">
        <v>196</v>
      </c>
      <c r="D137" s="1"/>
      <c r="E137" s="29">
        <f>+E139+E156+E157+E158+E159+E160+E161+E162+E163+E164+E138</f>
        <v>1975.9</v>
      </c>
      <c r="F137" s="29">
        <f>+F139+F156+F157+F158+F159+F160+F161+F162+F163+F164+F138</f>
        <v>717.6</v>
      </c>
    </row>
    <row r="138" spans="1:6" ht="12.6" customHeight="1" x14ac:dyDescent="0.2">
      <c r="A138" s="12">
        <v>54</v>
      </c>
      <c r="B138" s="1"/>
      <c r="C138" s="102" t="s">
        <v>112</v>
      </c>
      <c r="D138" s="1" t="s">
        <v>77</v>
      </c>
      <c r="E138" s="19">
        <v>1083.9000000000001</v>
      </c>
      <c r="F138" s="19">
        <v>642.1</v>
      </c>
    </row>
    <row r="139" spans="1:6" ht="12.6" customHeight="1" x14ac:dyDescent="0.2">
      <c r="A139" s="12">
        <v>55</v>
      </c>
      <c r="B139" s="11"/>
      <c r="C139" s="16" t="s">
        <v>167</v>
      </c>
      <c r="D139" s="1"/>
      <c r="E139" s="19">
        <f>+E140+E141+E148+E151+E149+E150</f>
        <v>862.9</v>
      </c>
      <c r="F139" s="19">
        <f>+F140+F141+F148+F151+F149+F150</f>
        <v>47.6</v>
      </c>
    </row>
    <row r="140" spans="1:6" ht="12.6" customHeight="1" x14ac:dyDescent="0.2">
      <c r="A140" s="106" t="s">
        <v>497</v>
      </c>
      <c r="B140" s="1"/>
      <c r="C140" s="16" t="s">
        <v>3</v>
      </c>
      <c r="D140" s="1" t="s">
        <v>132</v>
      </c>
      <c r="E140" s="19">
        <f>108.6+12</f>
        <v>120.6</v>
      </c>
      <c r="F140" s="19">
        <v>47.6</v>
      </c>
    </row>
    <row r="141" spans="1:6" ht="12.6" customHeight="1" x14ac:dyDescent="0.2">
      <c r="A141" s="155" t="s">
        <v>498</v>
      </c>
      <c r="B141" s="148"/>
      <c r="C141" s="111" t="s">
        <v>515</v>
      </c>
      <c r="D141" s="148" t="s">
        <v>77</v>
      </c>
      <c r="E141" s="19">
        <f>+E142+E143+E144+E145+E146+E147</f>
        <v>515</v>
      </c>
      <c r="F141" s="19">
        <f>+F142+F143+F144+F145+F146</f>
        <v>0</v>
      </c>
    </row>
    <row r="142" spans="1:6" ht="25.5" x14ac:dyDescent="0.2">
      <c r="A142" s="156"/>
      <c r="B142" s="154"/>
      <c r="C142" s="120" t="s">
        <v>436</v>
      </c>
      <c r="D142" s="154"/>
      <c r="E142" s="19">
        <v>220</v>
      </c>
      <c r="F142" s="19"/>
    </row>
    <row r="143" spans="1:6" ht="12.6" customHeight="1" x14ac:dyDescent="0.2">
      <c r="A143" s="156"/>
      <c r="B143" s="154"/>
      <c r="C143" s="120" t="s">
        <v>431</v>
      </c>
      <c r="D143" s="154"/>
      <c r="E143" s="19">
        <f>100+20</f>
        <v>120</v>
      </c>
      <c r="F143" s="19"/>
    </row>
    <row r="144" spans="1:6" ht="12.6" customHeight="1" x14ac:dyDescent="0.2">
      <c r="A144" s="156"/>
      <c r="B144" s="154"/>
      <c r="C144" s="120" t="s">
        <v>430</v>
      </c>
      <c r="D144" s="154"/>
      <c r="E144" s="19">
        <v>15</v>
      </c>
      <c r="F144" s="19"/>
    </row>
    <row r="145" spans="1:6" ht="25.5" x14ac:dyDescent="0.2">
      <c r="A145" s="156"/>
      <c r="B145" s="154"/>
      <c r="C145" s="120" t="s">
        <v>429</v>
      </c>
      <c r="D145" s="154"/>
      <c r="E145" s="19">
        <v>120</v>
      </c>
      <c r="F145" s="19"/>
    </row>
    <row r="146" spans="1:6" x14ac:dyDescent="0.2">
      <c r="A146" s="156"/>
      <c r="B146" s="154"/>
      <c r="C146" s="120" t="s">
        <v>432</v>
      </c>
      <c r="D146" s="154"/>
      <c r="E146" s="19">
        <v>20</v>
      </c>
      <c r="F146" s="19"/>
    </row>
    <row r="147" spans="1:6" x14ac:dyDescent="0.2">
      <c r="A147" s="157"/>
      <c r="B147" s="149"/>
      <c r="C147" s="120" t="s">
        <v>433</v>
      </c>
      <c r="D147" s="149"/>
      <c r="E147" s="19">
        <f>10+10</f>
        <v>20</v>
      </c>
      <c r="F147" s="19"/>
    </row>
    <row r="148" spans="1:6" ht="12.6" customHeight="1" x14ac:dyDescent="0.2">
      <c r="A148" s="106" t="s">
        <v>499</v>
      </c>
      <c r="B148" s="1"/>
      <c r="C148" s="111" t="s">
        <v>434</v>
      </c>
      <c r="D148" s="1" t="s">
        <v>77</v>
      </c>
      <c r="E148" s="19">
        <v>55</v>
      </c>
      <c r="F148" s="19"/>
    </row>
    <row r="149" spans="1:6" ht="25.5" x14ac:dyDescent="0.2">
      <c r="A149" s="106" t="s">
        <v>500</v>
      </c>
      <c r="B149" s="1"/>
      <c r="C149" s="111" t="s">
        <v>620</v>
      </c>
      <c r="D149" s="1" t="s">
        <v>77</v>
      </c>
      <c r="E149" s="19">
        <v>10.3</v>
      </c>
      <c r="F149" s="19"/>
    </row>
    <row r="150" spans="1:6" ht="25.5" x14ac:dyDescent="0.2">
      <c r="A150" s="106" t="s">
        <v>501</v>
      </c>
      <c r="B150" s="1"/>
      <c r="C150" s="111" t="s">
        <v>402</v>
      </c>
      <c r="D150" s="1" t="s">
        <v>156</v>
      </c>
      <c r="E150" s="19">
        <v>10</v>
      </c>
      <c r="F150" s="19"/>
    </row>
    <row r="151" spans="1:6" ht="42" customHeight="1" x14ac:dyDescent="0.2">
      <c r="A151" s="106" t="s">
        <v>502</v>
      </c>
      <c r="B151" s="1"/>
      <c r="C151" s="107" t="s">
        <v>414</v>
      </c>
      <c r="D151" s="11"/>
      <c r="E151" s="108">
        <f>+E152+E153+E154+E155</f>
        <v>152</v>
      </c>
      <c r="F151" s="108">
        <f>+F152+F153+F154+F155</f>
        <v>0</v>
      </c>
    </row>
    <row r="152" spans="1:6" ht="25.5" x14ac:dyDescent="0.2">
      <c r="A152" s="106" t="s">
        <v>503</v>
      </c>
      <c r="B152" s="1"/>
      <c r="C152" s="15" t="s">
        <v>435</v>
      </c>
      <c r="D152" s="44" t="s">
        <v>77</v>
      </c>
      <c r="E152" s="19">
        <v>22</v>
      </c>
      <c r="F152" s="19"/>
    </row>
    <row r="153" spans="1:6" ht="38.25" x14ac:dyDescent="0.2">
      <c r="A153" s="106" t="s">
        <v>504</v>
      </c>
      <c r="B153" s="1"/>
      <c r="C153" s="15" t="s">
        <v>259</v>
      </c>
      <c r="D153" s="1" t="s">
        <v>77</v>
      </c>
      <c r="E153" s="19">
        <v>50</v>
      </c>
      <c r="F153" s="19"/>
    </row>
    <row r="154" spans="1:6" ht="25.5" x14ac:dyDescent="0.2">
      <c r="A154" s="106" t="s">
        <v>785</v>
      </c>
      <c r="B154" s="1"/>
      <c r="C154" s="109" t="s">
        <v>332</v>
      </c>
      <c r="D154" s="1" t="s">
        <v>61</v>
      </c>
      <c r="E154" s="45">
        <v>20</v>
      </c>
      <c r="F154" s="19"/>
    </row>
    <row r="155" spans="1:6" ht="25.5" x14ac:dyDescent="0.2">
      <c r="A155" s="106" t="s">
        <v>786</v>
      </c>
      <c r="B155" s="1"/>
      <c r="C155" s="15" t="s">
        <v>724</v>
      </c>
      <c r="D155" s="1" t="s">
        <v>61</v>
      </c>
      <c r="E155" s="19">
        <v>60</v>
      </c>
      <c r="F155" s="19"/>
    </row>
    <row r="156" spans="1:6" ht="12.6" customHeight="1" x14ac:dyDescent="0.2">
      <c r="A156" s="12">
        <v>56</v>
      </c>
      <c r="B156" s="1"/>
      <c r="C156" s="15" t="s">
        <v>5</v>
      </c>
      <c r="D156" s="1" t="s">
        <v>77</v>
      </c>
      <c r="E156" s="19">
        <v>3.5</v>
      </c>
      <c r="F156" s="19">
        <v>3.1</v>
      </c>
    </row>
    <row r="157" spans="1:6" ht="12.6" customHeight="1" x14ac:dyDescent="0.2">
      <c r="A157" s="12">
        <v>57</v>
      </c>
      <c r="B157" s="1"/>
      <c r="C157" s="16" t="s">
        <v>7</v>
      </c>
      <c r="D157" s="1" t="s">
        <v>77</v>
      </c>
      <c r="E157" s="19">
        <v>3.4</v>
      </c>
      <c r="F157" s="19">
        <v>3.3</v>
      </c>
    </row>
    <row r="158" spans="1:6" ht="12.6" customHeight="1" x14ac:dyDescent="0.2">
      <c r="A158" s="12">
        <v>58</v>
      </c>
      <c r="B158" s="1"/>
      <c r="C158" s="15" t="s">
        <v>6</v>
      </c>
      <c r="D158" s="1" t="s">
        <v>77</v>
      </c>
      <c r="E158" s="19">
        <v>3.6</v>
      </c>
      <c r="F158" s="19">
        <v>3.5</v>
      </c>
    </row>
    <row r="159" spans="1:6" ht="12.6" customHeight="1" x14ac:dyDescent="0.2">
      <c r="A159" s="12">
        <v>59</v>
      </c>
      <c r="B159" s="1"/>
      <c r="C159" s="15" t="s">
        <v>9</v>
      </c>
      <c r="D159" s="1" t="s">
        <v>77</v>
      </c>
      <c r="E159" s="19">
        <v>3.3</v>
      </c>
      <c r="F159" s="19">
        <v>3.2</v>
      </c>
    </row>
    <row r="160" spans="1:6" ht="12.6" customHeight="1" x14ac:dyDescent="0.2">
      <c r="A160" s="12">
        <v>60</v>
      </c>
      <c r="B160" s="1"/>
      <c r="C160" s="16" t="s">
        <v>10</v>
      </c>
      <c r="D160" s="1" t="s">
        <v>77</v>
      </c>
      <c r="E160" s="19">
        <v>3.2</v>
      </c>
      <c r="F160" s="19">
        <v>3.1</v>
      </c>
    </row>
    <row r="161" spans="1:6" ht="12.6" customHeight="1" x14ac:dyDescent="0.2">
      <c r="A161" s="12">
        <v>61</v>
      </c>
      <c r="B161" s="1"/>
      <c r="C161" s="15" t="s">
        <v>12</v>
      </c>
      <c r="D161" s="1" t="s">
        <v>77</v>
      </c>
      <c r="E161" s="19">
        <v>3.2</v>
      </c>
      <c r="F161" s="19">
        <v>3.1</v>
      </c>
    </row>
    <row r="162" spans="1:6" ht="12.6" customHeight="1" x14ac:dyDescent="0.2">
      <c r="A162" s="12">
        <v>62</v>
      </c>
      <c r="B162" s="1"/>
      <c r="C162" s="15" t="s">
        <v>11</v>
      </c>
      <c r="D162" s="1" t="s">
        <v>77</v>
      </c>
      <c r="E162" s="19">
        <v>3</v>
      </c>
      <c r="F162" s="19">
        <v>2.9</v>
      </c>
    </row>
    <row r="163" spans="1:6" ht="12.6" customHeight="1" x14ac:dyDescent="0.2">
      <c r="A163" s="12">
        <v>63</v>
      </c>
      <c r="B163" s="1"/>
      <c r="C163" s="15" t="s">
        <v>13</v>
      </c>
      <c r="D163" s="1" t="s">
        <v>77</v>
      </c>
      <c r="E163" s="19">
        <v>2.9</v>
      </c>
      <c r="F163" s="19">
        <v>2.8</v>
      </c>
    </row>
    <row r="164" spans="1:6" ht="12.6" customHeight="1" x14ac:dyDescent="0.2">
      <c r="A164" s="12">
        <v>64</v>
      </c>
      <c r="B164" s="1"/>
      <c r="C164" s="15" t="s">
        <v>14</v>
      </c>
      <c r="D164" s="1" t="s">
        <v>77</v>
      </c>
      <c r="E164" s="19">
        <v>3</v>
      </c>
      <c r="F164" s="19">
        <v>2.9</v>
      </c>
    </row>
    <row r="165" spans="1:6" ht="24.75" customHeight="1" x14ac:dyDescent="0.2">
      <c r="A165" s="12">
        <v>65</v>
      </c>
      <c r="B165" s="11" t="s">
        <v>78</v>
      </c>
      <c r="C165" s="17" t="s">
        <v>79</v>
      </c>
      <c r="D165" s="9"/>
      <c r="E165" s="29">
        <f>+E166+E167+E168+E169+E170+E171+E172+E173+E175+E186</f>
        <v>4713.3999999999996</v>
      </c>
      <c r="F165" s="29">
        <f>+F166+F167+F168+F169+F170+F171+F172+F173+F175+F186</f>
        <v>2984.4</v>
      </c>
    </row>
    <row r="166" spans="1:6" ht="12.6" customHeight="1" x14ac:dyDescent="0.2">
      <c r="A166" s="12">
        <v>66</v>
      </c>
      <c r="B166" s="1"/>
      <c r="C166" s="102" t="s">
        <v>44</v>
      </c>
      <c r="D166" s="1" t="s">
        <v>80</v>
      </c>
      <c r="E166" s="19">
        <v>951.3</v>
      </c>
      <c r="F166" s="19">
        <v>653.1</v>
      </c>
    </row>
    <row r="167" spans="1:6" ht="12.6" customHeight="1" x14ac:dyDescent="0.2">
      <c r="A167" s="12">
        <v>67</v>
      </c>
      <c r="B167" s="1"/>
      <c r="C167" s="117" t="s">
        <v>49</v>
      </c>
      <c r="D167" s="1" t="s">
        <v>80</v>
      </c>
      <c r="E167" s="19">
        <v>293.8</v>
      </c>
      <c r="F167" s="19">
        <v>218.5</v>
      </c>
    </row>
    <row r="168" spans="1:6" ht="12.6" customHeight="1" x14ac:dyDescent="0.2">
      <c r="A168" s="12">
        <v>68</v>
      </c>
      <c r="B168" s="1"/>
      <c r="C168" s="117" t="s">
        <v>50</v>
      </c>
      <c r="D168" s="1" t="s">
        <v>80</v>
      </c>
      <c r="E168" s="19">
        <v>227.3</v>
      </c>
      <c r="F168" s="19">
        <v>158</v>
      </c>
    </row>
    <row r="169" spans="1:6" ht="12.6" customHeight="1" x14ac:dyDescent="0.2">
      <c r="A169" s="12">
        <v>69</v>
      </c>
      <c r="B169" s="1"/>
      <c r="C169" s="117" t="s">
        <v>45</v>
      </c>
      <c r="D169" s="1" t="s">
        <v>80</v>
      </c>
      <c r="E169" s="19">
        <v>209.9</v>
      </c>
      <c r="F169" s="19">
        <v>148.80000000000001</v>
      </c>
    </row>
    <row r="170" spans="1:6" ht="12.6" customHeight="1" x14ac:dyDescent="0.2">
      <c r="A170" s="12">
        <v>70</v>
      </c>
      <c r="B170" s="1"/>
      <c r="C170" s="117" t="s">
        <v>51</v>
      </c>
      <c r="D170" s="1" t="s">
        <v>80</v>
      </c>
      <c r="E170" s="19">
        <v>141.19999999999999</v>
      </c>
      <c r="F170" s="19">
        <v>114.8</v>
      </c>
    </row>
    <row r="171" spans="1:6" ht="12.6" customHeight="1" x14ac:dyDescent="0.2">
      <c r="A171" s="12">
        <v>71</v>
      </c>
      <c r="B171" s="1"/>
      <c r="C171" s="117" t="s">
        <v>52</v>
      </c>
      <c r="D171" s="1" t="s">
        <v>80</v>
      </c>
      <c r="E171" s="19">
        <v>128.5</v>
      </c>
      <c r="F171" s="19">
        <v>93.1</v>
      </c>
    </row>
    <row r="172" spans="1:6" ht="12.6" customHeight="1" x14ac:dyDescent="0.2">
      <c r="A172" s="12">
        <v>72</v>
      </c>
      <c r="B172" s="1"/>
      <c r="C172" s="15" t="s">
        <v>53</v>
      </c>
      <c r="D172" s="1" t="s">
        <v>81</v>
      </c>
      <c r="E172" s="19">
        <v>1257.7</v>
      </c>
      <c r="F172" s="19">
        <v>1030.7</v>
      </c>
    </row>
    <row r="173" spans="1:6" ht="12.6" customHeight="1" x14ac:dyDescent="0.2">
      <c r="A173" s="146">
        <v>73</v>
      </c>
      <c r="B173" s="148"/>
      <c r="C173" s="117" t="s">
        <v>43</v>
      </c>
      <c r="D173" s="1" t="s">
        <v>82</v>
      </c>
      <c r="E173" s="19">
        <f>+E174+646.2</f>
        <v>651.40000000000009</v>
      </c>
      <c r="F173" s="19">
        <v>484.4</v>
      </c>
    </row>
    <row r="174" spans="1:6" ht="42.75" customHeight="1" x14ac:dyDescent="0.2">
      <c r="A174" s="147"/>
      <c r="B174" s="149"/>
      <c r="C174" s="63" t="s">
        <v>437</v>
      </c>
      <c r="D174" s="1" t="s">
        <v>126</v>
      </c>
      <c r="E174" s="19">
        <v>5.2</v>
      </c>
      <c r="F174" s="19"/>
    </row>
    <row r="175" spans="1:6" ht="12.6" customHeight="1" x14ac:dyDescent="0.2">
      <c r="A175" s="12">
        <v>74</v>
      </c>
      <c r="B175" s="1"/>
      <c r="C175" s="16" t="s">
        <v>167</v>
      </c>
      <c r="D175" s="1"/>
      <c r="E175" s="19">
        <f>+E176+E177+E178+E179+E182+E180+E181</f>
        <v>843.8</v>
      </c>
      <c r="F175" s="19">
        <f>+F176+F177+F178+F179+F182+F180+F181</f>
        <v>74.7</v>
      </c>
    </row>
    <row r="176" spans="1:6" ht="25.5" x14ac:dyDescent="0.2">
      <c r="A176" s="106" t="s">
        <v>505</v>
      </c>
      <c r="B176" s="1"/>
      <c r="C176" s="16" t="s">
        <v>3</v>
      </c>
      <c r="D176" s="14" t="s">
        <v>141</v>
      </c>
      <c r="E176" s="19">
        <v>434.9</v>
      </c>
      <c r="F176" s="19">
        <v>74.7</v>
      </c>
    </row>
    <row r="177" spans="1:6" ht="51" x14ac:dyDescent="0.2">
      <c r="A177" s="106" t="s">
        <v>506</v>
      </c>
      <c r="B177" s="1"/>
      <c r="C177" s="46" t="s">
        <v>189</v>
      </c>
      <c r="D177" s="14" t="s">
        <v>83</v>
      </c>
      <c r="E177" s="19">
        <v>27</v>
      </c>
      <c r="F177" s="19"/>
    </row>
    <row r="178" spans="1:6" x14ac:dyDescent="0.2">
      <c r="A178" s="106" t="s">
        <v>507</v>
      </c>
      <c r="B178" s="1"/>
      <c r="C178" s="46" t="s">
        <v>343</v>
      </c>
      <c r="D178" s="14" t="s">
        <v>83</v>
      </c>
      <c r="E178" s="19">
        <v>25</v>
      </c>
      <c r="F178" s="19"/>
    </row>
    <row r="179" spans="1:6" ht="25.5" x14ac:dyDescent="0.2">
      <c r="A179" s="106" t="s">
        <v>508</v>
      </c>
      <c r="B179" s="1"/>
      <c r="C179" s="46" t="s">
        <v>344</v>
      </c>
      <c r="D179" s="14" t="s">
        <v>83</v>
      </c>
      <c r="E179" s="19">
        <v>10</v>
      </c>
      <c r="F179" s="19"/>
    </row>
    <row r="180" spans="1:6" ht="25.5" x14ac:dyDescent="0.2">
      <c r="A180" s="106" t="s">
        <v>509</v>
      </c>
      <c r="B180" s="1"/>
      <c r="C180" s="37" t="s">
        <v>260</v>
      </c>
      <c r="D180" s="14" t="s">
        <v>156</v>
      </c>
      <c r="E180" s="19">
        <v>36</v>
      </c>
      <c r="F180" s="19"/>
    </row>
    <row r="181" spans="1:6" ht="51" x14ac:dyDescent="0.2">
      <c r="A181" s="106" t="s">
        <v>510</v>
      </c>
      <c r="B181" s="1"/>
      <c r="C181" s="37" t="s">
        <v>621</v>
      </c>
      <c r="D181" s="14" t="s">
        <v>156</v>
      </c>
      <c r="E181" s="19">
        <v>19</v>
      </c>
      <c r="F181" s="19"/>
    </row>
    <row r="182" spans="1:6" ht="39" customHeight="1" x14ac:dyDescent="0.2">
      <c r="A182" s="106" t="s">
        <v>511</v>
      </c>
      <c r="B182" s="1"/>
      <c r="C182" s="107" t="s">
        <v>414</v>
      </c>
      <c r="D182" s="9"/>
      <c r="E182" s="108">
        <f>SUM(E183:E185)</f>
        <v>291.90000000000003</v>
      </c>
      <c r="F182" s="108">
        <f>SUM(F183:F185)</f>
        <v>0</v>
      </c>
    </row>
    <row r="183" spans="1:6" ht="38.25" x14ac:dyDescent="0.2">
      <c r="A183" s="106" t="s">
        <v>512</v>
      </c>
      <c r="B183" s="1"/>
      <c r="C183" s="37" t="s">
        <v>173</v>
      </c>
      <c r="D183" s="1" t="s">
        <v>82</v>
      </c>
      <c r="E183" s="19">
        <v>10</v>
      </c>
      <c r="F183" s="19"/>
    </row>
    <row r="184" spans="1:6" x14ac:dyDescent="0.2">
      <c r="A184" s="106" t="s">
        <v>513</v>
      </c>
      <c r="B184" s="1"/>
      <c r="C184" s="37" t="s">
        <v>438</v>
      </c>
      <c r="D184" s="1" t="s">
        <v>82</v>
      </c>
      <c r="E184" s="19">
        <v>267.3</v>
      </c>
      <c r="F184" s="19"/>
    </row>
    <row r="185" spans="1:6" ht="12.6" customHeight="1" x14ac:dyDescent="0.2">
      <c r="A185" s="106" t="s">
        <v>784</v>
      </c>
      <c r="B185" s="1"/>
      <c r="C185" s="15" t="s">
        <v>707</v>
      </c>
      <c r="D185" s="1" t="s">
        <v>80</v>
      </c>
      <c r="E185" s="19">
        <v>14.6</v>
      </c>
      <c r="F185" s="19"/>
    </row>
    <row r="186" spans="1:6" ht="12.6" customHeight="1" x14ac:dyDescent="0.2">
      <c r="A186" s="12">
        <v>75</v>
      </c>
      <c r="B186" s="1"/>
      <c r="C186" s="15" t="s">
        <v>6</v>
      </c>
      <c r="D186" s="1" t="s">
        <v>82</v>
      </c>
      <c r="E186" s="19">
        <v>8.5</v>
      </c>
      <c r="F186" s="19">
        <v>8.3000000000000007</v>
      </c>
    </row>
    <row r="187" spans="1:6" ht="30" customHeight="1" x14ac:dyDescent="0.2">
      <c r="A187" s="12">
        <v>76</v>
      </c>
      <c r="B187" s="11" t="s">
        <v>104</v>
      </c>
      <c r="C187" s="47" t="s">
        <v>105</v>
      </c>
      <c r="D187" s="1"/>
      <c r="E187" s="29">
        <f>+E191+E188</f>
        <v>389</v>
      </c>
      <c r="F187" s="29">
        <f>+F191</f>
        <v>0</v>
      </c>
    </row>
    <row r="188" spans="1:6" ht="12.6" customHeight="1" x14ac:dyDescent="0.2">
      <c r="A188" s="146">
        <v>77</v>
      </c>
      <c r="B188" s="151"/>
      <c r="C188" s="117" t="s">
        <v>265</v>
      </c>
      <c r="D188" s="148" t="s">
        <v>106</v>
      </c>
      <c r="E188" s="19">
        <f>+E189+E190</f>
        <v>41</v>
      </c>
      <c r="F188" s="29"/>
    </row>
    <row r="189" spans="1:6" ht="25.5" x14ac:dyDescent="0.2">
      <c r="A189" s="150"/>
      <c r="B189" s="152"/>
      <c r="C189" s="64" t="s">
        <v>271</v>
      </c>
      <c r="D189" s="154"/>
      <c r="E189" s="19">
        <v>30</v>
      </c>
      <c r="F189" s="19"/>
    </row>
    <row r="190" spans="1:6" ht="25.5" x14ac:dyDescent="0.2">
      <c r="A190" s="147"/>
      <c r="B190" s="153"/>
      <c r="C190" s="64" t="s">
        <v>545</v>
      </c>
      <c r="D190" s="149"/>
      <c r="E190" s="19">
        <v>11</v>
      </c>
      <c r="F190" s="19"/>
    </row>
    <row r="191" spans="1:6" ht="12.6" customHeight="1" x14ac:dyDescent="0.2">
      <c r="A191" s="12">
        <v>78</v>
      </c>
      <c r="B191" s="1"/>
      <c r="C191" s="16" t="s">
        <v>167</v>
      </c>
      <c r="D191" s="1"/>
      <c r="E191" s="19">
        <f>+E192+E193+E196+E194+E195</f>
        <v>348</v>
      </c>
      <c r="F191" s="19">
        <f>+F192+F193+F196</f>
        <v>0</v>
      </c>
    </row>
    <row r="192" spans="1:6" ht="27.6" customHeight="1" x14ac:dyDescent="0.2">
      <c r="A192" s="122" t="s">
        <v>514</v>
      </c>
      <c r="B192" s="1"/>
      <c r="C192" s="46" t="s">
        <v>183</v>
      </c>
      <c r="D192" s="1" t="s">
        <v>106</v>
      </c>
      <c r="E192" s="19">
        <v>85</v>
      </c>
      <c r="F192" s="19"/>
    </row>
    <row r="193" spans="1:12" ht="25.5" x14ac:dyDescent="0.2">
      <c r="A193" s="122" t="s">
        <v>516</v>
      </c>
      <c r="B193" s="1"/>
      <c r="C193" s="46" t="s">
        <v>140</v>
      </c>
      <c r="D193" s="1" t="s">
        <v>142</v>
      </c>
      <c r="E193" s="19">
        <v>50</v>
      </c>
      <c r="F193" s="19"/>
    </row>
    <row r="194" spans="1:12" ht="51" x14ac:dyDescent="0.2">
      <c r="A194" s="122" t="s">
        <v>517</v>
      </c>
      <c r="B194" s="1"/>
      <c r="C194" s="109" t="s">
        <v>400</v>
      </c>
      <c r="D194" s="44" t="s">
        <v>106</v>
      </c>
      <c r="E194" s="19">
        <v>20</v>
      </c>
      <c r="F194" s="19"/>
    </row>
    <row r="195" spans="1:12" ht="25.5" x14ac:dyDescent="0.2">
      <c r="A195" s="122" t="s">
        <v>518</v>
      </c>
      <c r="B195" s="1"/>
      <c r="C195" s="109" t="s">
        <v>252</v>
      </c>
      <c r="D195" s="44" t="s">
        <v>116</v>
      </c>
      <c r="E195" s="19">
        <v>23</v>
      </c>
      <c r="F195" s="19"/>
    </row>
    <row r="196" spans="1:12" ht="41.45" customHeight="1" x14ac:dyDescent="0.2">
      <c r="A196" s="122" t="s">
        <v>599</v>
      </c>
      <c r="B196" s="1"/>
      <c r="C196" s="107" t="s">
        <v>414</v>
      </c>
      <c r="D196" s="11"/>
      <c r="E196" s="108">
        <f>SUM(E197:E202)</f>
        <v>170</v>
      </c>
      <c r="F196" s="108">
        <f>SUM(F197:F202)</f>
        <v>0</v>
      </c>
    </row>
    <row r="197" spans="1:12" ht="25.5" x14ac:dyDescent="0.2">
      <c r="A197" s="106" t="s">
        <v>600</v>
      </c>
      <c r="B197" s="1"/>
      <c r="C197" s="109" t="s">
        <v>261</v>
      </c>
      <c r="D197" s="1" t="s">
        <v>116</v>
      </c>
      <c r="E197" s="19">
        <v>47</v>
      </c>
      <c r="F197" s="19"/>
    </row>
    <row r="198" spans="1:12" ht="25.5" x14ac:dyDescent="0.2">
      <c r="A198" s="106" t="s">
        <v>601</v>
      </c>
      <c r="B198" s="1"/>
      <c r="C198" s="109" t="s">
        <v>262</v>
      </c>
      <c r="D198" s="14" t="s">
        <v>126</v>
      </c>
      <c r="E198" s="19">
        <v>11</v>
      </c>
      <c r="F198" s="19"/>
    </row>
    <row r="199" spans="1:12" ht="38.25" x14ac:dyDescent="0.2">
      <c r="A199" s="106" t="s">
        <v>602</v>
      </c>
      <c r="B199" s="1"/>
      <c r="C199" s="109" t="s">
        <v>346</v>
      </c>
      <c r="D199" s="44" t="s">
        <v>116</v>
      </c>
      <c r="E199" s="19">
        <v>3</v>
      </c>
      <c r="F199" s="19"/>
    </row>
    <row r="200" spans="1:12" ht="51" x14ac:dyDescent="0.2">
      <c r="A200" s="106" t="s">
        <v>603</v>
      </c>
      <c r="B200" s="1"/>
      <c r="C200" s="109" t="s">
        <v>440</v>
      </c>
      <c r="D200" s="44" t="s">
        <v>116</v>
      </c>
      <c r="E200" s="19">
        <v>80</v>
      </c>
      <c r="F200" s="19"/>
    </row>
    <row r="201" spans="1:12" ht="38.25" x14ac:dyDescent="0.2">
      <c r="A201" s="106" t="s">
        <v>604</v>
      </c>
      <c r="B201" s="1"/>
      <c r="C201" s="109" t="s">
        <v>439</v>
      </c>
      <c r="D201" s="1" t="s">
        <v>116</v>
      </c>
      <c r="E201" s="19">
        <v>6</v>
      </c>
      <c r="F201" s="19"/>
    </row>
    <row r="202" spans="1:12" x14ac:dyDescent="0.2">
      <c r="A202" s="106" t="s">
        <v>605</v>
      </c>
      <c r="B202" s="1"/>
      <c r="C202" s="109" t="s">
        <v>598</v>
      </c>
      <c r="D202" s="44" t="s">
        <v>116</v>
      </c>
      <c r="E202" s="19">
        <v>23</v>
      </c>
      <c r="F202" s="19"/>
    </row>
    <row r="203" spans="1:12" ht="27" customHeight="1" x14ac:dyDescent="0.2">
      <c r="A203" s="12">
        <v>79</v>
      </c>
      <c r="B203" s="11" t="s">
        <v>84</v>
      </c>
      <c r="C203" s="40" t="s">
        <v>85</v>
      </c>
      <c r="D203" s="9"/>
      <c r="E203" s="43">
        <f>+E204+E205+E230+E231+E232+E233+E234+E235+E236+E237+E238+E239+E240</f>
        <v>2446.5</v>
      </c>
      <c r="F203" s="43">
        <f>+F204+F205+F230+F231+F232+F233+F234+F235+F236+F237+F238+F239+F240</f>
        <v>0</v>
      </c>
    </row>
    <row r="204" spans="1:12" ht="27" customHeight="1" x14ac:dyDescent="0.2">
      <c r="A204" s="12">
        <v>80</v>
      </c>
      <c r="B204" s="11"/>
      <c r="C204" s="123" t="s">
        <v>252</v>
      </c>
      <c r="D204" s="14" t="s">
        <v>131</v>
      </c>
      <c r="E204" s="124">
        <v>142</v>
      </c>
      <c r="F204" s="124"/>
    </row>
    <row r="205" spans="1:12" ht="12.6" customHeight="1" x14ac:dyDescent="0.2">
      <c r="A205" s="12">
        <v>81</v>
      </c>
      <c r="B205" s="1"/>
      <c r="C205" s="16" t="s">
        <v>174</v>
      </c>
      <c r="D205" s="14"/>
      <c r="E205" s="19">
        <f>E206</f>
        <v>1274.3</v>
      </c>
      <c r="F205" s="19">
        <f>F206</f>
        <v>0</v>
      </c>
    </row>
    <row r="206" spans="1:12" ht="39" customHeight="1" x14ac:dyDescent="0.2">
      <c r="A206" s="106" t="s">
        <v>638</v>
      </c>
      <c r="B206" s="1"/>
      <c r="C206" s="107" t="s">
        <v>414</v>
      </c>
      <c r="D206" s="14"/>
      <c r="E206" s="108">
        <f>SUM(E207:E229)</f>
        <v>1274.3</v>
      </c>
      <c r="F206" s="108">
        <f>SUM(F207:F227)</f>
        <v>0</v>
      </c>
    </row>
    <row r="207" spans="1:12" ht="27.6" customHeight="1" x14ac:dyDescent="0.2">
      <c r="A207" s="106" t="s">
        <v>639</v>
      </c>
      <c r="B207" s="1"/>
      <c r="C207" s="37" t="s">
        <v>350</v>
      </c>
      <c r="D207" s="14" t="s">
        <v>128</v>
      </c>
      <c r="E207" s="19">
        <v>75</v>
      </c>
      <c r="F207" s="19"/>
      <c r="J207" s="145"/>
      <c r="K207" s="145"/>
      <c r="L207" s="145"/>
    </row>
    <row r="208" spans="1:12" x14ac:dyDescent="0.2">
      <c r="A208" s="106" t="s">
        <v>640</v>
      </c>
      <c r="B208" s="1"/>
      <c r="C208" s="37" t="s">
        <v>403</v>
      </c>
      <c r="D208" s="14" t="s">
        <v>128</v>
      </c>
      <c r="E208" s="19">
        <v>50</v>
      </c>
      <c r="F208" s="19"/>
      <c r="J208" s="145"/>
      <c r="K208" s="145"/>
      <c r="L208" s="145"/>
    </row>
    <row r="209" spans="1:6" ht="27" customHeight="1" x14ac:dyDescent="0.2">
      <c r="A209" s="106" t="s">
        <v>641</v>
      </c>
      <c r="B209" s="1"/>
      <c r="C209" s="109" t="s">
        <v>351</v>
      </c>
      <c r="D209" s="14" t="s">
        <v>38</v>
      </c>
      <c r="E209" s="19">
        <v>25</v>
      </c>
      <c r="F209" s="19"/>
    </row>
    <row r="210" spans="1:6" ht="40.15" customHeight="1" x14ac:dyDescent="0.2">
      <c r="A210" s="106" t="s">
        <v>642</v>
      </c>
      <c r="B210" s="1"/>
      <c r="C210" s="16" t="s">
        <v>139</v>
      </c>
      <c r="D210" s="14" t="s">
        <v>128</v>
      </c>
      <c r="E210" s="19">
        <v>60</v>
      </c>
      <c r="F210" s="19"/>
    </row>
    <row r="211" spans="1:6" ht="25.5" x14ac:dyDescent="0.2">
      <c r="A211" s="106" t="s">
        <v>643</v>
      </c>
      <c r="B211" s="1"/>
      <c r="C211" s="16" t="s">
        <v>441</v>
      </c>
      <c r="D211" s="125" t="s">
        <v>199</v>
      </c>
      <c r="E211" s="19">
        <v>60</v>
      </c>
      <c r="F211" s="19"/>
    </row>
    <row r="212" spans="1:6" ht="38.25" x14ac:dyDescent="0.2">
      <c r="A212" s="106" t="s">
        <v>644</v>
      </c>
      <c r="B212" s="1"/>
      <c r="C212" s="15" t="s">
        <v>154</v>
      </c>
      <c r="D212" s="14" t="s">
        <v>153</v>
      </c>
      <c r="E212" s="19">
        <v>145.30000000000001</v>
      </c>
      <c r="F212" s="19"/>
    </row>
    <row r="213" spans="1:6" ht="12.6" customHeight="1" x14ac:dyDescent="0.2">
      <c r="A213" s="106" t="s">
        <v>645</v>
      </c>
      <c r="B213" s="1"/>
      <c r="C213" s="15" t="s">
        <v>203</v>
      </c>
      <c r="D213" s="126" t="s">
        <v>200</v>
      </c>
      <c r="E213" s="19">
        <v>39.5</v>
      </c>
      <c r="F213" s="19"/>
    </row>
    <row r="214" spans="1:6" ht="25.5" x14ac:dyDescent="0.2">
      <c r="A214" s="106" t="s">
        <v>646</v>
      </c>
      <c r="B214" s="1"/>
      <c r="C214" s="15" t="s">
        <v>352</v>
      </c>
      <c r="D214" s="125" t="s">
        <v>199</v>
      </c>
      <c r="E214" s="19">
        <v>13.5</v>
      </c>
      <c r="F214" s="19"/>
    </row>
    <row r="215" spans="1:6" ht="25.5" x14ac:dyDescent="0.2">
      <c r="A215" s="106" t="s">
        <v>647</v>
      </c>
      <c r="B215" s="1"/>
      <c r="C215" s="15" t="s">
        <v>443</v>
      </c>
      <c r="D215" s="14" t="s">
        <v>144</v>
      </c>
      <c r="E215" s="19">
        <v>10</v>
      </c>
      <c r="F215" s="19"/>
    </row>
    <row r="216" spans="1:6" ht="12.6" customHeight="1" x14ac:dyDescent="0.2">
      <c r="A216" s="106" t="s">
        <v>648</v>
      </c>
      <c r="B216" s="1"/>
      <c r="C216" s="109" t="s">
        <v>442</v>
      </c>
      <c r="D216" s="14" t="s">
        <v>144</v>
      </c>
      <c r="E216" s="19">
        <v>15</v>
      </c>
      <c r="F216" s="19"/>
    </row>
    <row r="217" spans="1:6" ht="25.5" x14ac:dyDescent="0.2">
      <c r="A217" s="106" t="s">
        <v>649</v>
      </c>
      <c r="B217" s="1"/>
      <c r="C217" s="109" t="s">
        <v>353</v>
      </c>
      <c r="D217" s="14" t="s">
        <v>144</v>
      </c>
      <c r="E217" s="19">
        <v>4</v>
      </c>
      <c r="F217" s="19"/>
    </row>
    <row r="218" spans="1:6" ht="25.5" x14ac:dyDescent="0.2">
      <c r="A218" s="106" t="s">
        <v>650</v>
      </c>
      <c r="B218" s="1"/>
      <c r="C218" s="109" t="s">
        <v>444</v>
      </c>
      <c r="D218" s="14" t="s">
        <v>144</v>
      </c>
      <c r="E218" s="19">
        <v>17</v>
      </c>
      <c r="F218" s="19"/>
    </row>
    <row r="219" spans="1:6" ht="25.5" x14ac:dyDescent="0.2">
      <c r="A219" s="106" t="s">
        <v>651</v>
      </c>
      <c r="B219" s="1"/>
      <c r="C219" s="109" t="s">
        <v>397</v>
      </c>
      <c r="D219" s="14" t="s">
        <v>144</v>
      </c>
      <c r="E219" s="19">
        <v>20</v>
      </c>
      <c r="F219" s="19"/>
    </row>
    <row r="220" spans="1:6" ht="12.75" customHeight="1" x14ac:dyDescent="0.2">
      <c r="A220" s="106" t="s">
        <v>652</v>
      </c>
      <c r="B220" s="1"/>
      <c r="C220" s="109" t="s">
        <v>122</v>
      </c>
      <c r="D220" s="14" t="s">
        <v>156</v>
      </c>
      <c r="E220" s="19">
        <v>40</v>
      </c>
      <c r="F220" s="19"/>
    </row>
    <row r="221" spans="1:6" ht="12.6" customHeight="1" x14ac:dyDescent="0.2">
      <c r="A221" s="106" t="s">
        <v>653</v>
      </c>
      <c r="B221" s="1"/>
      <c r="C221" s="109" t="s">
        <v>123</v>
      </c>
      <c r="D221" s="14" t="s">
        <v>156</v>
      </c>
      <c r="E221" s="19">
        <v>40</v>
      </c>
      <c r="F221" s="19"/>
    </row>
    <row r="222" spans="1:6" ht="25.5" x14ac:dyDescent="0.2">
      <c r="A222" s="106" t="s">
        <v>654</v>
      </c>
      <c r="B222" s="1"/>
      <c r="C222" s="15" t="s">
        <v>263</v>
      </c>
      <c r="D222" s="14" t="s">
        <v>86</v>
      </c>
      <c r="E222" s="19">
        <f>75-10</f>
        <v>65</v>
      </c>
      <c r="F222" s="19"/>
    </row>
    <row r="223" spans="1:6" ht="25.5" x14ac:dyDescent="0.2">
      <c r="A223" s="106" t="s">
        <v>655</v>
      </c>
      <c r="B223" s="1"/>
      <c r="C223" s="109" t="s">
        <v>408</v>
      </c>
      <c r="D223" s="14" t="s">
        <v>86</v>
      </c>
      <c r="E223" s="19">
        <f>60+10</f>
        <v>70</v>
      </c>
      <c r="F223" s="19"/>
    </row>
    <row r="224" spans="1:6" ht="12.6" customHeight="1" x14ac:dyDescent="0.2">
      <c r="A224" s="106" t="s">
        <v>656</v>
      </c>
      <c r="B224" s="1"/>
      <c r="C224" s="109" t="s">
        <v>124</v>
      </c>
      <c r="D224" s="14" t="s">
        <v>156</v>
      </c>
      <c r="E224" s="19">
        <v>70</v>
      </c>
      <c r="F224" s="19"/>
    </row>
    <row r="225" spans="1:6" ht="12.6" customHeight="1" x14ac:dyDescent="0.2">
      <c r="A225" s="106" t="s">
        <v>657</v>
      </c>
      <c r="B225" s="1"/>
      <c r="C225" s="109" t="s">
        <v>354</v>
      </c>
      <c r="D225" s="14" t="s">
        <v>156</v>
      </c>
      <c r="E225" s="19">
        <v>100</v>
      </c>
      <c r="F225" s="19"/>
    </row>
    <row r="226" spans="1:6" ht="12.6" customHeight="1" x14ac:dyDescent="0.2">
      <c r="A226" s="106" t="s">
        <v>658</v>
      </c>
      <c r="B226" s="1"/>
      <c r="C226" s="109" t="s">
        <v>125</v>
      </c>
      <c r="D226" s="14" t="s">
        <v>156</v>
      </c>
      <c r="E226" s="19">
        <v>50</v>
      </c>
      <c r="F226" s="19"/>
    </row>
    <row r="227" spans="1:6" ht="25.5" x14ac:dyDescent="0.2">
      <c r="A227" s="106" t="s">
        <v>659</v>
      </c>
      <c r="B227" s="1"/>
      <c r="C227" s="15" t="s">
        <v>355</v>
      </c>
      <c r="D227" s="14" t="s">
        <v>156</v>
      </c>
      <c r="E227" s="19">
        <v>80</v>
      </c>
      <c r="F227" s="19"/>
    </row>
    <row r="228" spans="1:6" x14ac:dyDescent="0.2">
      <c r="A228" s="106" t="s">
        <v>660</v>
      </c>
      <c r="B228" s="1"/>
      <c r="C228" s="15" t="s">
        <v>577</v>
      </c>
      <c r="D228" s="14" t="s">
        <v>156</v>
      </c>
      <c r="E228" s="19">
        <v>50</v>
      </c>
      <c r="F228" s="19"/>
    </row>
    <row r="229" spans="1:6" ht="25.5" x14ac:dyDescent="0.2">
      <c r="A229" s="106" t="s">
        <v>661</v>
      </c>
      <c r="B229" s="1"/>
      <c r="C229" s="15" t="s">
        <v>578</v>
      </c>
      <c r="D229" s="14" t="s">
        <v>156</v>
      </c>
      <c r="E229" s="19">
        <v>175</v>
      </c>
      <c r="F229" s="19"/>
    </row>
    <row r="230" spans="1:6" ht="25.5" x14ac:dyDescent="0.2">
      <c r="A230" s="12">
        <v>82</v>
      </c>
      <c r="B230" s="11"/>
      <c r="C230" s="15" t="s">
        <v>8</v>
      </c>
      <c r="D230" s="14" t="s">
        <v>87</v>
      </c>
      <c r="E230" s="19">
        <v>788.8</v>
      </c>
      <c r="F230" s="19"/>
    </row>
    <row r="231" spans="1:6" ht="12.6" customHeight="1" x14ac:dyDescent="0.2">
      <c r="A231" s="12">
        <v>83</v>
      </c>
      <c r="B231" s="11"/>
      <c r="C231" s="15" t="s">
        <v>4</v>
      </c>
      <c r="D231" s="14" t="s">
        <v>86</v>
      </c>
      <c r="E231" s="19">
        <v>40</v>
      </c>
      <c r="F231" s="19"/>
    </row>
    <row r="232" spans="1:6" ht="12.6" customHeight="1" x14ac:dyDescent="0.2">
      <c r="A232" s="12">
        <v>84</v>
      </c>
      <c r="B232" s="11"/>
      <c r="C232" s="15" t="s">
        <v>5</v>
      </c>
      <c r="D232" s="14" t="s">
        <v>86</v>
      </c>
      <c r="E232" s="19">
        <v>12.9</v>
      </c>
      <c r="F232" s="19"/>
    </row>
    <row r="233" spans="1:6" ht="12.6" customHeight="1" x14ac:dyDescent="0.2">
      <c r="A233" s="12">
        <v>85</v>
      </c>
      <c r="B233" s="11"/>
      <c r="C233" s="16" t="s">
        <v>7</v>
      </c>
      <c r="D233" s="14" t="s">
        <v>86</v>
      </c>
      <c r="E233" s="19">
        <v>30</v>
      </c>
      <c r="F233" s="19"/>
    </row>
    <row r="234" spans="1:6" ht="12.6" customHeight="1" x14ac:dyDescent="0.2">
      <c r="A234" s="12">
        <v>86</v>
      </c>
      <c r="B234" s="11"/>
      <c r="C234" s="15" t="s">
        <v>6</v>
      </c>
      <c r="D234" s="14" t="s">
        <v>86</v>
      </c>
      <c r="E234" s="19">
        <v>21.4</v>
      </c>
      <c r="F234" s="19"/>
    </row>
    <row r="235" spans="1:6" ht="12.6" customHeight="1" x14ac:dyDescent="0.2">
      <c r="A235" s="12">
        <v>87</v>
      </c>
      <c r="B235" s="11"/>
      <c r="C235" s="15" t="s">
        <v>9</v>
      </c>
      <c r="D235" s="14" t="s">
        <v>86</v>
      </c>
      <c r="E235" s="19">
        <v>35</v>
      </c>
      <c r="F235" s="19"/>
    </row>
    <row r="236" spans="1:6" ht="12.6" customHeight="1" x14ac:dyDescent="0.2">
      <c r="A236" s="12">
        <v>88</v>
      </c>
      <c r="B236" s="11"/>
      <c r="C236" s="16" t="s">
        <v>10</v>
      </c>
      <c r="D236" s="14" t="s">
        <v>86</v>
      </c>
      <c r="E236" s="19">
        <v>20</v>
      </c>
      <c r="F236" s="19"/>
    </row>
    <row r="237" spans="1:6" ht="12.6" customHeight="1" x14ac:dyDescent="0.2">
      <c r="A237" s="12">
        <v>89</v>
      </c>
      <c r="B237" s="11"/>
      <c r="C237" s="15" t="s">
        <v>12</v>
      </c>
      <c r="D237" s="14" t="s">
        <v>86</v>
      </c>
      <c r="E237" s="19">
        <v>22</v>
      </c>
      <c r="F237" s="19"/>
    </row>
    <row r="238" spans="1:6" ht="12.6" customHeight="1" x14ac:dyDescent="0.2">
      <c r="A238" s="12">
        <v>90</v>
      </c>
      <c r="B238" s="11"/>
      <c r="C238" s="15" t="s">
        <v>11</v>
      </c>
      <c r="D238" s="14" t="s">
        <v>86</v>
      </c>
      <c r="E238" s="19">
        <v>15.7</v>
      </c>
      <c r="F238" s="19"/>
    </row>
    <row r="239" spans="1:6" ht="12.6" customHeight="1" x14ac:dyDescent="0.2">
      <c r="A239" s="12">
        <v>91</v>
      </c>
      <c r="B239" s="11"/>
      <c r="C239" s="15" t="s">
        <v>13</v>
      </c>
      <c r="D239" s="14" t="s">
        <v>86</v>
      </c>
      <c r="E239" s="19">
        <v>9.8000000000000007</v>
      </c>
      <c r="F239" s="19"/>
    </row>
    <row r="240" spans="1:6" ht="12.6" customHeight="1" x14ac:dyDescent="0.2">
      <c r="A240" s="12">
        <v>92</v>
      </c>
      <c r="B240" s="1"/>
      <c r="C240" s="15" t="s">
        <v>14</v>
      </c>
      <c r="D240" s="14" t="s">
        <v>86</v>
      </c>
      <c r="E240" s="19">
        <v>34.6</v>
      </c>
      <c r="F240" s="19"/>
    </row>
    <row r="241" spans="1:6" ht="27" customHeight="1" x14ac:dyDescent="0.2">
      <c r="A241" s="12">
        <v>93</v>
      </c>
      <c r="B241" s="11" t="s">
        <v>89</v>
      </c>
      <c r="C241" s="17" t="s">
        <v>90</v>
      </c>
      <c r="D241" s="9"/>
      <c r="E241" s="29">
        <f>+E255+E256+E258+E257+E254+E259+E260+E262+E261+E263+E264+E242</f>
        <v>5681.3</v>
      </c>
      <c r="F241" s="29">
        <f>+F255+F256+F258+F257+F254+F259+F260+F262+F261+F263+F264+F242</f>
        <v>935.69999999999993</v>
      </c>
    </row>
    <row r="242" spans="1:6" ht="12.6" customHeight="1" x14ac:dyDescent="0.2">
      <c r="A242" s="12">
        <v>94</v>
      </c>
      <c r="B242" s="1"/>
      <c r="C242" s="16" t="s">
        <v>167</v>
      </c>
      <c r="D242" s="14"/>
      <c r="E242" s="19">
        <f>+E243+E244+E245+E246+E247+E248+E249+E250</f>
        <v>2460.1999999999998</v>
      </c>
      <c r="F242" s="19">
        <f>+F243+F244+F245+F246+F247+F248+F249+F250</f>
        <v>0</v>
      </c>
    </row>
    <row r="243" spans="1:6" ht="12.6" customHeight="1" x14ac:dyDescent="0.2">
      <c r="A243" s="106" t="s">
        <v>662</v>
      </c>
      <c r="B243" s="1"/>
      <c r="C243" s="127" t="s">
        <v>3</v>
      </c>
      <c r="D243" s="1" t="s">
        <v>143</v>
      </c>
      <c r="E243" s="19">
        <v>25</v>
      </c>
      <c r="F243" s="19"/>
    </row>
    <row r="244" spans="1:6" ht="27" customHeight="1" x14ac:dyDescent="0.2">
      <c r="A244" s="106" t="s">
        <v>663</v>
      </c>
      <c r="B244" s="1"/>
      <c r="C244" s="111" t="s">
        <v>252</v>
      </c>
      <c r="D244" s="66" t="s">
        <v>131</v>
      </c>
      <c r="E244" s="19">
        <f>548.8-23-142</f>
        <v>383.79999999999995</v>
      </c>
      <c r="F244" s="19"/>
    </row>
    <row r="245" spans="1:6" ht="12.6" customHeight="1" x14ac:dyDescent="0.2">
      <c r="A245" s="106" t="s">
        <v>664</v>
      </c>
      <c r="B245" s="1"/>
      <c r="C245" s="111" t="s">
        <v>190</v>
      </c>
      <c r="D245" s="66" t="s">
        <v>92</v>
      </c>
      <c r="E245" s="19">
        <f>1600+13</f>
        <v>1613</v>
      </c>
      <c r="F245" s="19"/>
    </row>
    <row r="246" spans="1:6" ht="12.6" customHeight="1" x14ac:dyDescent="0.2">
      <c r="A246" s="106" t="s">
        <v>665</v>
      </c>
      <c r="B246" s="1"/>
      <c r="C246" s="111" t="s">
        <v>145</v>
      </c>
      <c r="D246" s="66" t="s">
        <v>92</v>
      </c>
      <c r="E246" s="19">
        <v>100</v>
      </c>
      <c r="F246" s="19"/>
    </row>
    <row r="247" spans="1:6" ht="25.5" x14ac:dyDescent="0.2">
      <c r="A247" s="106" t="s">
        <v>666</v>
      </c>
      <c r="B247" s="1"/>
      <c r="C247" s="109" t="s">
        <v>445</v>
      </c>
      <c r="D247" s="66" t="s">
        <v>92</v>
      </c>
      <c r="E247" s="19">
        <v>11.6</v>
      </c>
      <c r="F247" s="19"/>
    </row>
    <row r="248" spans="1:6" ht="12.6" customHeight="1" x14ac:dyDescent="0.2">
      <c r="A248" s="106" t="s">
        <v>667</v>
      </c>
      <c r="B248" s="1"/>
      <c r="C248" s="109" t="s">
        <v>404</v>
      </c>
      <c r="D248" s="66" t="s">
        <v>92</v>
      </c>
      <c r="E248" s="19">
        <v>9.1999999999999993</v>
      </c>
      <c r="F248" s="19"/>
    </row>
    <row r="249" spans="1:6" x14ac:dyDescent="0.2">
      <c r="A249" s="106" t="s">
        <v>668</v>
      </c>
      <c r="B249" s="1"/>
      <c r="C249" s="111" t="s">
        <v>623</v>
      </c>
      <c r="D249" s="66" t="s">
        <v>92</v>
      </c>
      <c r="E249" s="19">
        <v>7.6</v>
      </c>
      <c r="F249" s="19"/>
    </row>
    <row r="250" spans="1:6" ht="40.5" x14ac:dyDescent="0.2">
      <c r="A250" s="106" t="s">
        <v>669</v>
      </c>
      <c r="B250" s="1"/>
      <c r="C250" s="107" t="s">
        <v>414</v>
      </c>
      <c r="D250" s="11"/>
      <c r="E250" s="108">
        <f>+E251+E252+E253</f>
        <v>310</v>
      </c>
      <c r="F250" s="108">
        <f>+F251+F252+F253</f>
        <v>0</v>
      </c>
    </row>
    <row r="251" spans="1:6" ht="12.6" customHeight="1" x14ac:dyDescent="0.2">
      <c r="A251" s="106" t="s">
        <v>670</v>
      </c>
      <c r="B251" s="1"/>
      <c r="C251" s="37" t="s">
        <v>175</v>
      </c>
      <c r="D251" s="1" t="s">
        <v>156</v>
      </c>
      <c r="E251" s="19">
        <v>230</v>
      </c>
      <c r="F251" s="108"/>
    </row>
    <row r="252" spans="1:6" ht="25.5" x14ac:dyDescent="0.2">
      <c r="A252" s="106" t="s">
        <v>671</v>
      </c>
      <c r="B252" s="1"/>
      <c r="C252" s="109" t="s">
        <v>152</v>
      </c>
      <c r="D252" s="66" t="s">
        <v>92</v>
      </c>
      <c r="E252" s="25">
        <v>70</v>
      </c>
      <c r="F252" s="19"/>
    </row>
    <row r="253" spans="1:6" ht="38.25" x14ac:dyDescent="0.2">
      <c r="A253" s="106" t="s">
        <v>672</v>
      </c>
      <c r="B253" s="1"/>
      <c r="C253" s="109" t="s">
        <v>191</v>
      </c>
      <c r="D253" s="1" t="s">
        <v>143</v>
      </c>
      <c r="E253" s="25">
        <v>10</v>
      </c>
      <c r="F253" s="19"/>
    </row>
    <row r="254" spans="1:6" ht="38.25" x14ac:dyDescent="0.2">
      <c r="A254" s="12">
        <v>95</v>
      </c>
      <c r="B254" s="1"/>
      <c r="C254" s="46" t="s">
        <v>8</v>
      </c>
      <c r="D254" s="118" t="s">
        <v>93</v>
      </c>
      <c r="E254" s="19">
        <v>2104.5</v>
      </c>
      <c r="F254" s="19">
        <v>193.5</v>
      </c>
    </row>
    <row r="255" spans="1:6" ht="25.5" x14ac:dyDescent="0.2">
      <c r="A255" s="12">
        <v>96</v>
      </c>
      <c r="B255" s="1"/>
      <c r="C255" s="15" t="s">
        <v>4</v>
      </c>
      <c r="D255" s="118" t="s">
        <v>91</v>
      </c>
      <c r="E255" s="19">
        <v>140.4</v>
      </c>
      <c r="F255" s="19">
        <v>96.4</v>
      </c>
    </row>
    <row r="256" spans="1:6" ht="12.6" customHeight="1" x14ac:dyDescent="0.2">
      <c r="A256" s="12">
        <v>97</v>
      </c>
      <c r="B256" s="1"/>
      <c r="C256" s="15" t="s">
        <v>5</v>
      </c>
      <c r="D256" s="118" t="s">
        <v>92</v>
      </c>
      <c r="E256" s="19">
        <v>137.4</v>
      </c>
      <c r="F256" s="19">
        <v>89.7</v>
      </c>
    </row>
    <row r="257" spans="1:6" ht="24.95" customHeight="1" x14ac:dyDescent="0.2">
      <c r="A257" s="12">
        <v>98</v>
      </c>
      <c r="B257" s="1"/>
      <c r="C257" s="15" t="s">
        <v>7</v>
      </c>
      <c r="D257" s="118" t="s">
        <v>91</v>
      </c>
      <c r="E257" s="19">
        <v>103.7</v>
      </c>
      <c r="F257" s="19">
        <v>61.5</v>
      </c>
    </row>
    <row r="258" spans="1:6" ht="24.95" customHeight="1" x14ac:dyDescent="0.2">
      <c r="A258" s="12">
        <v>99</v>
      </c>
      <c r="B258" s="1"/>
      <c r="C258" s="46" t="s">
        <v>6</v>
      </c>
      <c r="D258" s="118" t="s">
        <v>91</v>
      </c>
      <c r="E258" s="19">
        <v>114.9</v>
      </c>
      <c r="F258" s="19">
        <v>71</v>
      </c>
    </row>
    <row r="259" spans="1:6" ht="12.6" customHeight="1" x14ac:dyDescent="0.2">
      <c r="A259" s="12">
        <v>100</v>
      </c>
      <c r="B259" s="1"/>
      <c r="C259" s="15" t="s">
        <v>9</v>
      </c>
      <c r="D259" s="118" t="s">
        <v>94</v>
      </c>
      <c r="E259" s="19">
        <v>97.6</v>
      </c>
      <c r="F259" s="19">
        <v>57.1</v>
      </c>
    </row>
    <row r="260" spans="1:6" ht="24.95" customHeight="1" x14ac:dyDescent="0.2">
      <c r="A260" s="12">
        <v>101</v>
      </c>
      <c r="B260" s="1"/>
      <c r="C260" s="16" t="s">
        <v>10</v>
      </c>
      <c r="D260" s="118" t="s">
        <v>91</v>
      </c>
      <c r="E260" s="19">
        <v>96.4</v>
      </c>
      <c r="F260" s="19">
        <v>73.099999999999994</v>
      </c>
    </row>
    <row r="261" spans="1:6" ht="24.95" customHeight="1" x14ac:dyDescent="0.2">
      <c r="A261" s="12">
        <v>102</v>
      </c>
      <c r="B261" s="1"/>
      <c r="C261" s="15" t="s">
        <v>12</v>
      </c>
      <c r="D261" s="118" t="s">
        <v>91</v>
      </c>
      <c r="E261" s="19">
        <v>68</v>
      </c>
      <c r="F261" s="19">
        <v>44.8</v>
      </c>
    </row>
    <row r="262" spans="1:6" ht="29.25" customHeight="1" x14ac:dyDescent="0.2">
      <c r="A262" s="12">
        <v>103</v>
      </c>
      <c r="B262" s="1"/>
      <c r="C262" s="46" t="s">
        <v>11</v>
      </c>
      <c r="D262" s="118" t="s">
        <v>91</v>
      </c>
      <c r="E262" s="19">
        <v>81.8</v>
      </c>
      <c r="F262" s="19">
        <v>62.8</v>
      </c>
    </row>
    <row r="263" spans="1:6" ht="27" customHeight="1" x14ac:dyDescent="0.2">
      <c r="A263" s="12">
        <v>104</v>
      </c>
      <c r="B263" s="1"/>
      <c r="C263" s="15" t="s">
        <v>13</v>
      </c>
      <c r="D263" s="118" t="s">
        <v>91</v>
      </c>
      <c r="E263" s="19">
        <v>89.1</v>
      </c>
      <c r="F263" s="19">
        <v>51.9</v>
      </c>
    </row>
    <row r="264" spans="1:6" ht="24.95" customHeight="1" x14ac:dyDescent="0.2">
      <c r="A264" s="12">
        <v>105</v>
      </c>
      <c r="B264" s="1"/>
      <c r="C264" s="15" t="s">
        <v>14</v>
      </c>
      <c r="D264" s="118" t="s">
        <v>91</v>
      </c>
      <c r="E264" s="19">
        <v>187.3</v>
      </c>
      <c r="F264" s="19">
        <v>133.9</v>
      </c>
    </row>
    <row r="265" spans="1:6" x14ac:dyDescent="0.2">
      <c r="A265" s="12">
        <v>106</v>
      </c>
      <c r="B265" s="11" t="s">
        <v>32</v>
      </c>
      <c r="C265" s="17" t="s">
        <v>33</v>
      </c>
      <c r="D265" s="118"/>
      <c r="E265" s="108">
        <f>+E266</f>
        <v>354.3</v>
      </c>
      <c r="F265" s="29">
        <f>+F266</f>
        <v>105.6</v>
      </c>
    </row>
    <row r="266" spans="1:6" ht="12.6" customHeight="1" x14ac:dyDescent="0.2">
      <c r="A266" s="12">
        <v>107</v>
      </c>
      <c r="B266" s="11"/>
      <c r="C266" s="16" t="s">
        <v>182</v>
      </c>
      <c r="D266" s="118"/>
      <c r="E266" s="19">
        <f>+E268+E267</f>
        <v>354.3</v>
      </c>
      <c r="F266" s="19">
        <f>+F268+F267</f>
        <v>105.6</v>
      </c>
    </row>
    <row r="267" spans="1:6" ht="12.6" customHeight="1" x14ac:dyDescent="0.2">
      <c r="A267" s="12" t="s">
        <v>673</v>
      </c>
      <c r="B267" s="11"/>
      <c r="C267" s="16" t="s">
        <v>99</v>
      </c>
      <c r="D267" s="1" t="s">
        <v>227</v>
      </c>
      <c r="E267" s="19">
        <v>119.5</v>
      </c>
      <c r="F267" s="19">
        <v>105.6</v>
      </c>
    </row>
    <row r="268" spans="1:6" ht="40.5" x14ac:dyDescent="0.2">
      <c r="A268" s="106" t="s">
        <v>674</v>
      </c>
      <c r="B268" s="1"/>
      <c r="C268" s="107" t="s">
        <v>414</v>
      </c>
      <c r="D268" s="128"/>
      <c r="E268" s="108">
        <f>SUM(E269:E273)</f>
        <v>234.8</v>
      </c>
      <c r="F268" s="108">
        <f>+F269+F270</f>
        <v>0</v>
      </c>
    </row>
    <row r="269" spans="1:6" ht="25.5" x14ac:dyDescent="0.2">
      <c r="A269" s="122" t="s">
        <v>675</v>
      </c>
      <c r="B269" s="1"/>
      <c r="C269" s="15" t="s">
        <v>192</v>
      </c>
      <c r="D269" s="118" t="s">
        <v>144</v>
      </c>
      <c r="E269" s="19">
        <v>40</v>
      </c>
      <c r="F269" s="19"/>
    </row>
    <row r="270" spans="1:6" x14ac:dyDescent="0.2">
      <c r="A270" s="122" t="s">
        <v>676</v>
      </c>
      <c r="B270" s="1"/>
      <c r="C270" s="15" t="s">
        <v>624</v>
      </c>
      <c r="D270" s="14" t="s">
        <v>230</v>
      </c>
      <c r="E270" s="19">
        <v>10</v>
      </c>
      <c r="F270" s="19"/>
    </row>
    <row r="271" spans="1:6" ht="38.25" x14ac:dyDescent="0.2">
      <c r="A271" s="122" t="s">
        <v>677</v>
      </c>
      <c r="B271" s="1"/>
      <c r="C271" s="15" t="s">
        <v>446</v>
      </c>
      <c r="D271" s="14" t="s">
        <v>144</v>
      </c>
      <c r="E271" s="19">
        <v>151</v>
      </c>
      <c r="F271" s="19"/>
    </row>
    <row r="272" spans="1:6" ht="38.25" x14ac:dyDescent="0.2">
      <c r="A272" s="122" t="s">
        <v>678</v>
      </c>
      <c r="B272" s="1"/>
      <c r="C272" s="15" t="s">
        <v>447</v>
      </c>
      <c r="D272" s="14" t="s">
        <v>144</v>
      </c>
      <c r="E272" s="19">
        <v>3.8</v>
      </c>
      <c r="F272" s="19"/>
    </row>
    <row r="273" spans="1:6" ht="25.5" x14ac:dyDescent="0.2">
      <c r="A273" s="122" t="s">
        <v>679</v>
      </c>
      <c r="B273" s="1"/>
      <c r="C273" s="15" t="s">
        <v>448</v>
      </c>
      <c r="D273" s="14" t="s">
        <v>144</v>
      </c>
      <c r="E273" s="19">
        <v>30</v>
      </c>
      <c r="F273" s="19"/>
    </row>
    <row r="274" spans="1:6" x14ac:dyDescent="0.2">
      <c r="A274" s="12">
        <v>108</v>
      </c>
      <c r="B274" s="11" t="s">
        <v>95</v>
      </c>
      <c r="C274" s="17" t="s">
        <v>96</v>
      </c>
      <c r="D274" s="9"/>
      <c r="E274" s="29">
        <f>+E275</f>
        <v>89</v>
      </c>
      <c r="F274" s="29">
        <f>+F275</f>
        <v>0</v>
      </c>
    </row>
    <row r="275" spans="1:6" ht="12.6" customHeight="1" x14ac:dyDescent="0.2">
      <c r="A275" s="12">
        <v>109</v>
      </c>
      <c r="B275" s="11"/>
      <c r="C275" s="16" t="s">
        <v>167</v>
      </c>
      <c r="D275" s="9"/>
      <c r="E275" s="19">
        <f>+E277+E278+E276</f>
        <v>89</v>
      </c>
      <c r="F275" s="19">
        <f>+F277+F278+F276</f>
        <v>0</v>
      </c>
    </row>
    <row r="276" spans="1:6" ht="12.6" customHeight="1" x14ac:dyDescent="0.2">
      <c r="A276" s="122" t="s">
        <v>680</v>
      </c>
      <c r="B276" s="11"/>
      <c r="C276" s="46" t="s">
        <v>99</v>
      </c>
      <c r="D276" s="14" t="s">
        <v>399</v>
      </c>
      <c r="E276" s="19">
        <v>3</v>
      </c>
      <c r="F276" s="19"/>
    </row>
    <row r="277" spans="1:6" ht="25.5" x14ac:dyDescent="0.2">
      <c r="A277" s="122" t="s">
        <v>681</v>
      </c>
      <c r="B277" s="1"/>
      <c r="C277" s="46" t="s">
        <v>193</v>
      </c>
      <c r="D277" s="14" t="s">
        <v>97</v>
      </c>
      <c r="E277" s="19">
        <v>36</v>
      </c>
      <c r="F277" s="19"/>
    </row>
    <row r="278" spans="1:6" ht="38.25" x14ac:dyDescent="0.2">
      <c r="A278" s="122" t="s">
        <v>682</v>
      </c>
      <c r="B278" s="1"/>
      <c r="C278" s="46" t="s">
        <v>347</v>
      </c>
      <c r="D278" s="14" t="s">
        <v>97</v>
      </c>
      <c r="E278" s="19">
        <v>50</v>
      </c>
      <c r="F278" s="19"/>
    </row>
    <row r="279" spans="1:6" x14ac:dyDescent="0.2">
      <c r="A279" s="12">
        <v>110</v>
      </c>
      <c r="B279" s="11" t="s">
        <v>25</v>
      </c>
      <c r="C279" s="17" t="s">
        <v>26</v>
      </c>
      <c r="D279" s="9"/>
      <c r="E279" s="29">
        <f>+E280+E281+E282+E292+E293+E294+E295+E296+E297+E298+E299+E300+E301+E302</f>
        <v>8142.6000000000013</v>
      </c>
      <c r="F279" s="29">
        <f>+F280+F281+F282+F292+F293+F294+F295+F296+F297+F298+F299+F300+F301+F302</f>
        <v>3808.5999999999995</v>
      </c>
    </row>
    <row r="280" spans="1:6" x14ac:dyDescent="0.2">
      <c r="A280" s="12">
        <v>111</v>
      </c>
      <c r="B280" s="11"/>
      <c r="C280" s="15" t="s">
        <v>27</v>
      </c>
      <c r="D280" s="14" t="s">
        <v>28</v>
      </c>
      <c r="E280" s="19">
        <v>92</v>
      </c>
      <c r="F280" s="19">
        <v>15.2</v>
      </c>
    </row>
    <row r="281" spans="1:6" x14ac:dyDescent="0.2">
      <c r="A281" s="12">
        <v>112</v>
      </c>
      <c r="B281" s="11"/>
      <c r="C281" s="16" t="s">
        <v>98</v>
      </c>
      <c r="D281" s="14" t="s">
        <v>110</v>
      </c>
      <c r="E281" s="19">
        <v>171.1</v>
      </c>
      <c r="F281" s="19">
        <v>156</v>
      </c>
    </row>
    <row r="282" spans="1:6" x14ac:dyDescent="0.2">
      <c r="A282" s="12">
        <v>113</v>
      </c>
      <c r="B282" s="11"/>
      <c r="C282" s="16" t="s">
        <v>167</v>
      </c>
      <c r="D282" s="14"/>
      <c r="E282" s="19">
        <f>+E283+E285+E286+E287+E288+E289+E290+E291+E284</f>
        <v>6468.5000000000009</v>
      </c>
      <c r="F282" s="19">
        <f>+F283+F285+F286+F287+F288+F289+F290+F291+F284</f>
        <v>2865.1</v>
      </c>
    </row>
    <row r="283" spans="1:6" ht="89.25" x14ac:dyDescent="0.2">
      <c r="A283" s="122" t="s">
        <v>683</v>
      </c>
      <c r="B283" s="11"/>
      <c r="C283" s="16" t="s">
        <v>99</v>
      </c>
      <c r="D283" s="14" t="s">
        <v>130</v>
      </c>
      <c r="E283" s="19">
        <v>5051.8</v>
      </c>
      <c r="F283" s="19">
        <v>2865.1</v>
      </c>
    </row>
    <row r="284" spans="1:6" ht="25.5" x14ac:dyDescent="0.2">
      <c r="A284" s="122" t="s">
        <v>684</v>
      </c>
      <c r="B284" s="11"/>
      <c r="C284" s="16" t="s">
        <v>449</v>
      </c>
      <c r="D284" s="14" t="s">
        <v>156</v>
      </c>
      <c r="E284" s="19">
        <v>40</v>
      </c>
      <c r="F284" s="19"/>
    </row>
    <row r="285" spans="1:6" ht="25.5" x14ac:dyDescent="0.2">
      <c r="A285" s="122" t="s">
        <v>685</v>
      </c>
      <c r="B285" s="1"/>
      <c r="C285" s="46" t="s">
        <v>146</v>
      </c>
      <c r="D285" s="14" t="s">
        <v>121</v>
      </c>
      <c r="E285" s="19">
        <v>120</v>
      </c>
      <c r="F285" s="19"/>
    </row>
    <row r="286" spans="1:6" ht="12.6" customHeight="1" x14ac:dyDescent="0.2">
      <c r="A286" s="122" t="s">
        <v>686</v>
      </c>
      <c r="B286" s="1"/>
      <c r="C286" s="46" t="s">
        <v>349</v>
      </c>
      <c r="D286" s="14" t="s">
        <v>38</v>
      </c>
      <c r="E286" s="19">
        <v>21.6</v>
      </c>
      <c r="F286" s="19"/>
    </row>
    <row r="287" spans="1:6" x14ac:dyDescent="0.2">
      <c r="A287" s="122" t="s">
        <v>687</v>
      </c>
      <c r="B287" s="1"/>
      <c r="C287" s="46" t="s">
        <v>348</v>
      </c>
      <c r="D287" s="14" t="s">
        <v>101</v>
      </c>
      <c r="E287" s="19">
        <f>1150-100</f>
        <v>1050</v>
      </c>
      <c r="F287" s="19"/>
    </row>
    <row r="288" spans="1:6" x14ac:dyDescent="0.2">
      <c r="A288" s="122" t="s">
        <v>688</v>
      </c>
      <c r="B288" s="1"/>
      <c r="C288" s="46" t="s">
        <v>201</v>
      </c>
      <c r="D288" s="14" t="s">
        <v>38</v>
      </c>
      <c r="E288" s="19">
        <v>15</v>
      </c>
      <c r="F288" s="19"/>
    </row>
    <row r="289" spans="1:6" ht="25.5" x14ac:dyDescent="0.2">
      <c r="A289" s="122" t="s">
        <v>689</v>
      </c>
      <c r="B289" s="1"/>
      <c r="C289" s="46" t="s">
        <v>176</v>
      </c>
      <c r="D289" s="14" t="s">
        <v>100</v>
      </c>
      <c r="E289" s="19">
        <v>12</v>
      </c>
      <c r="F289" s="19"/>
    </row>
    <row r="290" spans="1:6" ht="12.6" customHeight="1" x14ac:dyDescent="0.2">
      <c r="A290" s="122" t="s">
        <v>690</v>
      </c>
      <c r="B290" s="1"/>
      <c r="C290" s="46" t="s">
        <v>195</v>
      </c>
      <c r="D290" s="14" t="s">
        <v>102</v>
      </c>
      <c r="E290" s="19">
        <v>110</v>
      </c>
      <c r="F290" s="19"/>
    </row>
    <row r="291" spans="1:6" ht="12.6" customHeight="1" x14ac:dyDescent="0.2">
      <c r="A291" s="122" t="s">
        <v>691</v>
      </c>
      <c r="B291" s="1"/>
      <c r="C291" s="46" t="s">
        <v>267</v>
      </c>
      <c r="D291" s="14" t="s">
        <v>274</v>
      </c>
      <c r="E291" s="19">
        <v>48.1</v>
      </c>
      <c r="F291" s="19"/>
    </row>
    <row r="292" spans="1:6" ht="25.5" customHeight="1" x14ac:dyDescent="0.2">
      <c r="A292" s="103">
        <v>114</v>
      </c>
      <c r="B292" s="44"/>
      <c r="C292" s="15" t="s">
        <v>8</v>
      </c>
      <c r="D292" s="1" t="s">
        <v>530</v>
      </c>
      <c r="E292" s="19">
        <v>184.1</v>
      </c>
      <c r="F292" s="19">
        <v>111</v>
      </c>
    </row>
    <row r="293" spans="1:6" ht="25.5" x14ac:dyDescent="0.2">
      <c r="A293" s="103">
        <v>115</v>
      </c>
      <c r="B293" s="44"/>
      <c r="C293" s="15" t="s">
        <v>4</v>
      </c>
      <c r="D293" s="1" t="s">
        <v>530</v>
      </c>
      <c r="E293" s="19">
        <v>72</v>
      </c>
      <c r="F293" s="19">
        <v>50.3</v>
      </c>
    </row>
    <row r="294" spans="1:6" ht="15" customHeight="1" x14ac:dyDescent="0.2">
      <c r="A294" s="103">
        <v>116</v>
      </c>
      <c r="B294" s="44"/>
      <c r="C294" s="15" t="s">
        <v>5</v>
      </c>
      <c r="D294" s="1" t="s">
        <v>530</v>
      </c>
      <c r="E294" s="19">
        <v>125.4</v>
      </c>
      <c r="F294" s="19">
        <v>65</v>
      </c>
    </row>
    <row r="295" spans="1:6" ht="25.5" x14ac:dyDescent="0.2">
      <c r="A295" s="103">
        <v>117</v>
      </c>
      <c r="B295" s="44"/>
      <c r="C295" s="15" t="s">
        <v>7</v>
      </c>
      <c r="D295" s="1" t="s">
        <v>530</v>
      </c>
      <c r="E295" s="19">
        <v>97</v>
      </c>
      <c r="F295" s="19">
        <v>61</v>
      </c>
    </row>
    <row r="296" spans="1:6" x14ac:dyDescent="0.2">
      <c r="A296" s="103">
        <v>118</v>
      </c>
      <c r="B296" s="44"/>
      <c r="C296" s="15" t="s">
        <v>6</v>
      </c>
      <c r="D296" s="1" t="s">
        <v>530</v>
      </c>
      <c r="E296" s="19">
        <v>82.7</v>
      </c>
      <c r="F296" s="19">
        <v>54.6</v>
      </c>
    </row>
    <row r="297" spans="1:6" ht="25.5" x14ac:dyDescent="0.2">
      <c r="A297" s="103">
        <v>119</v>
      </c>
      <c r="B297" s="44"/>
      <c r="C297" s="15" t="s">
        <v>9</v>
      </c>
      <c r="D297" s="1" t="s">
        <v>530</v>
      </c>
      <c r="E297" s="19">
        <v>91</v>
      </c>
      <c r="F297" s="19">
        <v>61.7</v>
      </c>
    </row>
    <row r="298" spans="1:6" ht="25.5" x14ac:dyDescent="0.2">
      <c r="A298" s="103">
        <v>120</v>
      </c>
      <c r="B298" s="44"/>
      <c r="C298" s="16" t="s">
        <v>10</v>
      </c>
      <c r="D298" s="1" t="s">
        <v>530</v>
      </c>
      <c r="E298" s="19">
        <v>206.6</v>
      </c>
      <c r="F298" s="19">
        <v>92.9</v>
      </c>
    </row>
    <row r="299" spans="1:6" ht="25.5" x14ac:dyDescent="0.2">
      <c r="A299" s="103">
        <v>121</v>
      </c>
      <c r="B299" s="44"/>
      <c r="C299" s="15" t="s">
        <v>12</v>
      </c>
      <c r="D299" s="1" t="s">
        <v>530</v>
      </c>
      <c r="E299" s="19">
        <v>89.1</v>
      </c>
      <c r="F299" s="19">
        <v>61.2</v>
      </c>
    </row>
    <row r="300" spans="1:6" ht="15.75" customHeight="1" x14ac:dyDescent="0.2">
      <c r="A300" s="103">
        <v>122</v>
      </c>
      <c r="B300" s="44"/>
      <c r="C300" s="15" t="s">
        <v>11</v>
      </c>
      <c r="D300" s="1" t="s">
        <v>530</v>
      </c>
      <c r="E300" s="19">
        <v>143.5</v>
      </c>
      <c r="F300" s="19">
        <v>64</v>
      </c>
    </row>
    <row r="301" spans="1:6" ht="25.5" x14ac:dyDescent="0.2">
      <c r="A301" s="103">
        <v>123</v>
      </c>
      <c r="B301" s="44"/>
      <c r="C301" s="15" t="s">
        <v>13</v>
      </c>
      <c r="D301" s="1" t="s">
        <v>530</v>
      </c>
      <c r="E301" s="19">
        <v>96.2</v>
      </c>
      <c r="F301" s="19">
        <v>63.5</v>
      </c>
    </row>
    <row r="302" spans="1:6" x14ac:dyDescent="0.2">
      <c r="A302" s="103">
        <v>124</v>
      </c>
      <c r="B302" s="44"/>
      <c r="C302" s="15" t="s">
        <v>14</v>
      </c>
      <c r="D302" s="1" t="s">
        <v>530</v>
      </c>
      <c r="E302" s="19">
        <v>223.4</v>
      </c>
      <c r="F302" s="19">
        <v>87.1</v>
      </c>
    </row>
    <row r="303" spans="1:6" ht="14.25" x14ac:dyDescent="0.2">
      <c r="A303" s="103">
        <v>125</v>
      </c>
      <c r="B303" s="1"/>
      <c r="C303" s="129" t="s">
        <v>20</v>
      </c>
      <c r="D303" s="1"/>
      <c r="E303" s="108">
        <f>+E10+E62+E88+E137+E165+E187+E203+E241+E265+E274+E279</f>
        <v>52052.000000000007</v>
      </c>
      <c r="F303" s="108">
        <f>+F10+F62+F88+F137+F165+F187+F203+F241+F265+F274+F279</f>
        <v>22114.6</v>
      </c>
    </row>
    <row r="304" spans="1:6" x14ac:dyDescent="0.2">
      <c r="C304" s="5"/>
      <c r="F304" s="48"/>
    </row>
    <row r="305" spans="1:6" x14ac:dyDescent="0.2">
      <c r="A305" s="2" t="s">
        <v>206</v>
      </c>
      <c r="B305" s="2"/>
      <c r="C305" s="2"/>
      <c r="D305" s="2"/>
      <c r="E305" s="2"/>
      <c r="F305" s="2"/>
    </row>
    <row r="306" spans="1:6" x14ac:dyDescent="0.2">
      <c r="C306" s="130"/>
      <c r="E306" s="48"/>
      <c r="F306" s="48"/>
    </row>
    <row r="307" spans="1:6" x14ac:dyDescent="0.2">
      <c r="C307" s="5"/>
      <c r="E307" s="48"/>
      <c r="F307" s="48"/>
    </row>
    <row r="308" spans="1:6" x14ac:dyDescent="0.2">
      <c r="C308" s="5"/>
      <c r="D308" s="5"/>
      <c r="E308" s="59"/>
      <c r="F308" s="59"/>
    </row>
    <row r="309" spans="1:6" x14ac:dyDescent="0.2">
      <c r="C309" s="5"/>
      <c r="D309" s="5"/>
      <c r="E309" s="48"/>
      <c r="F309" s="48"/>
    </row>
    <row r="310" spans="1:6" x14ac:dyDescent="0.2">
      <c r="C310" s="5"/>
      <c r="D310" s="33"/>
      <c r="E310" s="31"/>
    </row>
    <row r="311" spans="1:6" x14ac:dyDescent="0.2">
      <c r="C311" s="5"/>
      <c r="D311" s="33"/>
      <c r="E311" s="48"/>
    </row>
    <row r="312" spans="1:6" x14ac:dyDescent="0.2">
      <c r="C312" s="5"/>
      <c r="D312" s="33"/>
      <c r="E312" s="131"/>
      <c r="F312" s="33"/>
    </row>
    <row r="313" spans="1:6" x14ac:dyDescent="0.2">
      <c r="C313" s="5"/>
      <c r="D313" s="33"/>
      <c r="F313" s="48"/>
    </row>
    <row r="314" spans="1:6" x14ac:dyDescent="0.2">
      <c r="C314" s="5"/>
      <c r="D314" s="132"/>
      <c r="E314" s="31"/>
      <c r="F314" s="48"/>
    </row>
    <row r="315" spans="1:6" x14ac:dyDescent="0.2">
      <c r="C315" s="5"/>
      <c r="D315" s="132"/>
      <c r="E315" s="31"/>
      <c r="F315" s="48"/>
    </row>
    <row r="316" spans="1:6" x14ac:dyDescent="0.2">
      <c r="C316" s="5"/>
      <c r="D316" s="132"/>
      <c r="E316" s="131"/>
    </row>
    <row r="317" spans="1:6" x14ac:dyDescent="0.2">
      <c r="C317" s="130"/>
      <c r="E317" s="48"/>
    </row>
    <row r="318" spans="1:6" x14ac:dyDescent="0.2">
      <c r="C318" s="5"/>
      <c r="E318" s="49"/>
      <c r="F318" s="49"/>
    </row>
    <row r="319" spans="1:6" x14ac:dyDescent="0.2">
      <c r="E319" s="48"/>
    </row>
    <row r="320" spans="1:6" x14ac:dyDescent="0.2">
      <c r="E320" s="48"/>
    </row>
    <row r="321" spans="5:6" x14ac:dyDescent="0.2">
      <c r="E321" s="48"/>
    </row>
    <row r="323" spans="5:6" x14ac:dyDescent="0.2">
      <c r="E323" s="48"/>
      <c r="F323" s="48"/>
    </row>
    <row r="325" spans="5:6" x14ac:dyDescent="0.2">
      <c r="E325" s="48"/>
      <c r="F325" s="48"/>
    </row>
    <row r="334" spans="5:6" x14ac:dyDescent="0.2">
      <c r="E334" s="48"/>
      <c r="F334" s="48"/>
    </row>
  </sheetData>
  <mergeCells count="41">
    <mergeCell ref="A38:A39"/>
    <mergeCell ref="B38:B39"/>
    <mergeCell ref="D38:D39"/>
    <mergeCell ref="A135:A136"/>
    <mergeCell ref="B135:B136"/>
    <mergeCell ref="A124:A125"/>
    <mergeCell ref="B124:B125"/>
    <mergeCell ref="A129:A130"/>
    <mergeCell ref="B129:B130"/>
    <mergeCell ref="A127:A128"/>
    <mergeCell ref="B127:B128"/>
    <mergeCell ref="A131:A132"/>
    <mergeCell ref="B131:B132"/>
    <mergeCell ref="C1:F1"/>
    <mergeCell ref="C2:F2"/>
    <mergeCell ref="E3:F3"/>
    <mergeCell ref="A5:F5"/>
    <mergeCell ref="A35:A36"/>
    <mergeCell ref="D35:D36"/>
    <mergeCell ref="A141:A147"/>
    <mergeCell ref="B141:B147"/>
    <mergeCell ref="D141:D147"/>
    <mergeCell ref="A63:A64"/>
    <mergeCell ref="D63:D64"/>
    <mergeCell ref="A89:A91"/>
    <mergeCell ref="B89:B91"/>
    <mergeCell ref="D89:D91"/>
    <mergeCell ref="A117:A118"/>
    <mergeCell ref="B117:B118"/>
    <mergeCell ref="A119:A120"/>
    <mergeCell ref="B119:B120"/>
    <mergeCell ref="A122:A123"/>
    <mergeCell ref="B122:B123"/>
    <mergeCell ref="A133:A134"/>
    <mergeCell ref="B133:B134"/>
    <mergeCell ref="J207:L208"/>
    <mergeCell ref="A173:A174"/>
    <mergeCell ref="B173:B174"/>
    <mergeCell ref="A188:A190"/>
    <mergeCell ref="B188:B190"/>
    <mergeCell ref="D188:D190"/>
  </mergeCells>
  <phoneticPr fontId="13" type="noConversion"/>
  <pageMargins left="0.70866141732283472" right="0" top="0.74803149606299213" bottom="0.59055118110236227" header="0.31496062992125984" footer="0.31496062992125984"/>
  <pageSetup paperSize="9" fitToHeight="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59"/>
  <sheetViews>
    <sheetView zoomScaleNormal="100" workbookViewId="0">
      <selection activeCell="L17" sqref="L17"/>
    </sheetView>
  </sheetViews>
  <sheetFormatPr defaultColWidth="9.140625" defaultRowHeight="12.75" x14ac:dyDescent="0.2"/>
  <cols>
    <col min="1" max="1" width="4.85546875" style="3" customWidth="1"/>
    <col min="2" max="2" width="7.140625" style="30" customWidth="1"/>
    <col min="3" max="3" width="50.28515625" style="3" customWidth="1"/>
    <col min="4" max="4" width="10.28515625" style="7" customWidth="1"/>
    <col min="5" max="5" width="8.140625" style="3" customWidth="1"/>
    <col min="6" max="6" width="11.28515625" style="3" customWidth="1"/>
    <col min="7" max="16384" width="9.140625" style="2"/>
  </cols>
  <sheetData>
    <row r="1" spans="1:12" ht="15.75" customHeight="1" x14ac:dyDescent="0.25">
      <c r="C1" s="144" t="s">
        <v>752</v>
      </c>
      <c r="D1" s="144"/>
      <c r="E1" s="144"/>
      <c r="F1" s="144"/>
    </row>
    <row r="2" spans="1:12" ht="15.75" customHeight="1" x14ac:dyDescent="0.25">
      <c r="C2" s="144" t="s">
        <v>791</v>
      </c>
      <c r="D2" s="144"/>
      <c r="E2" s="144"/>
      <c r="F2" s="144"/>
    </row>
    <row r="3" spans="1:12" ht="15.75" x14ac:dyDescent="0.2">
      <c r="B3" s="7"/>
      <c r="E3" s="165" t="s">
        <v>117</v>
      </c>
      <c r="F3" s="165"/>
    </row>
    <row r="4" spans="1:12" ht="15.75" x14ac:dyDescent="0.2">
      <c r="B4" s="7"/>
      <c r="E4" s="27"/>
      <c r="F4" s="27"/>
    </row>
    <row r="5" spans="1:12" ht="30" customHeight="1" x14ac:dyDescent="0.2">
      <c r="A5" s="166" t="s">
        <v>411</v>
      </c>
      <c r="B5" s="166"/>
      <c r="C5" s="166"/>
      <c r="D5" s="166"/>
      <c r="E5" s="166"/>
      <c r="F5" s="166"/>
    </row>
    <row r="6" spans="1:12" x14ac:dyDescent="0.2">
      <c r="A6" s="24"/>
      <c r="B6" s="24"/>
      <c r="C6" s="24"/>
      <c r="D6" s="24"/>
      <c r="E6" s="24"/>
      <c r="F6" s="24"/>
    </row>
    <row r="7" spans="1:12" x14ac:dyDescent="0.2">
      <c r="B7" s="7"/>
      <c r="E7" s="5"/>
      <c r="F7" s="5" t="s">
        <v>129</v>
      </c>
    </row>
    <row r="8" spans="1:12" ht="46.5" customHeight="1" x14ac:dyDescent="0.2">
      <c r="A8" s="8" t="s">
        <v>118</v>
      </c>
      <c r="B8" s="9" t="s">
        <v>329</v>
      </c>
      <c r="C8" s="8" t="s">
        <v>16</v>
      </c>
      <c r="D8" s="9" t="s">
        <v>55</v>
      </c>
      <c r="E8" s="8" t="s">
        <v>17</v>
      </c>
      <c r="F8" s="8" t="s">
        <v>29</v>
      </c>
    </row>
    <row r="9" spans="1:12" x14ac:dyDescent="0.2">
      <c r="A9" s="10">
        <v>1</v>
      </c>
      <c r="B9" s="11" t="s">
        <v>18</v>
      </c>
      <c r="C9" s="8">
        <v>3</v>
      </c>
      <c r="D9" s="9">
        <v>4</v>
      </c>
      <c r="E9" s="8">
        <v>5</v>
      </c>
      <c r="F9" s="8">
        <v>6</v>
      </c>
    </row>
    <row r="10" spans="1:12" x14ac:dyDescent="0.2">
      <c r="A10" s="12">
        <v>1</v>
      </c>
      <c r="B10" s="11" t="s">
        <v>56</v>
      </c>
      <c r="C10" s="13" t="s">
        <v>57</v>
      </c>
      <c r="D10" s="9"/>
      <c r="E10" s="43">
        <f>+E11</f>
        <v>988.8</v>
      </c>
      <c r="F10" s="43">
        <f>+F11</f>
        <v>0</v>
      </c>
      <c r="G10" s="4"/>
      <c r="H10" s="4"/>
      <c r="I10" s="4"/>
      <c r="J10" s="4"/>
      <c r="K10" s="4"/>
      <c r="L10" s="4"/>
    </row>
    <row r="11" spans="1:12" x14ac:dyDescent="0.2">
      <c r="A11" s="12">
        <v>2</v>
      </c>
      <c r="B11" s="1"/>
      <c r="C11" s="39" t="s">
        <v>182</v>
      </c>
      <c r="D11" s="1"/>
      <c r="E11" s="45">
        <f>SUM(E12:E15)</f>
        <v>988.8</v>
      </c>
      <c r="F11" s="45">
        <f>SUM(F12:F15)</f>
        <v>0</v>
      </c>
      <c r="G11" s="4"/>
      <c r="H11" s="4"/>
      <c r="I11" s="4"/>
      <c r="J11" s="4"/>
      <c r="K11" s="4"/>
      <c r="L11" s="41"/>
    </row>
    <row r="12" spans="1:12" ht="25.5" x14ac:dyDescent="0.2">
      <c r="A12" s="50" t="s">
        <v>519</v>
      </c>
      <c r="B12" s="1"/>
      <c r="C12" s="37" t="s">
        <v>150</v>
      </c>
      <c r="D12" s="1" t="s">
        <v>61</v>
      </c>
      <c r="E12" s="45">
        <v>22.4</v>
      </c>
      <c r="F12" s="133"/>
      <c r="G12" s="4"/>
      <c r="H12" s="4"/>
      <c r="I12" s="4"/>
      <c r="J12" s="4"/>
      <c r="K12" s="4"/>
      <c r="L12" s="41"/>
    </row>
    <row r="13" spans="1:12" ht="38.25" x14ac:dyDescent="0.2">
      <c r="A13" s="50" t="s">
        <v>520</v>
      </c>
      <c r="B13" s="1"/>
      <c r="C13" s="37" t="s">
        <v>417</v>
      </c>
      <c r="D13" s="1" t="s">
        <v>58</v>
      </c>
      <c r="E13" s="45">
        <v>426</v>
      </c>
      <c r="F13" s="133"/>
      <c r="G13" s="4"/>
      <c r="H13" s="4"/>
      <c r="I13" s="4"/>
      <c r="J13" s="4"/>
      <c r="K13" s="4"/>
      <c r="L13" s="41"/>
    </row>
    <row r="14" spans="1:12" ht="38.25" x14ac:dyDescent="0.2">
      <c r="A14" s="50" t="s">
        <v>521</v>
      </c>
      <c r="B14" s="1"/>
      <c r="C14" s="37" t="s">
        <v>418</v>
      </c>
      <c r="D14" s="1" t="s">
        <v>58</v>
      </c>
      <c r="E14" s="45">
        <v>532</v>
      </c>
      <c r="F14" s="133"/>
      <c r="G14" s="4"/>
      <c r="H14" s="4"/>
      <c r="I14" s="4"/>
      <c r="J14" s="4"/>
      <c r="K14" s="4"/>
      <c r="L14" s="41"/>
    </row>
    <row r="15" spans="1:12" ht="25.5" x14ac:dyDescent="0.2">
      <c r="A15" s="50" t="s">
        <v>522</v>
      </c>
      <c r="B15" s="1"/>
      <c r="C15" s="104" t="s">
        <v>406</v>
      </c>
      <c r="D15" s="1" t="s">
        <v>58</v>
      </c>
      <c r="E15" s="45">
        <v>8.4</v>
      </c>
      <c r="F15" s="133"/>
      <c r="G15" s="4"/>
      <c r="H15" s="4"/>
      <c r="I15" s="4"/>
      <c r="J15" s="4"/>
      <c r="K15" s="4"/>
      <c r="L15" s="41"/>
    </row>
    <row r="16" spans="1:12" x14ac:dyDescent="0.2">
      <c r="A16" s="50" t="s">
        <v>523</v>
      </c>
      <c r="B16" s="11" t="s">
        <v>65</v>
      </c>
      <c r="C16" s="17" t="s">
        <v>66</v>
      </c>
      <c r="D16" s="1"/>
      <c r="E16" s="51">
        <f>+E17</f>
        <v>5.5</v>
      </c>
      <c r="F16" s="51">
        <f>+F17</f>
        <v>0</v>
      </c>
      <c r="G16" s="4"/>
      <c r="H16" s="4"/>
      <c r="I16" s="4"/>
      <c r="J16" s="4"/>
      <c r="K16" s="4"/>
      <c r="L16" s="41"/>
    </row>
    <row r="17" spans="1:12" x14ac:dyDescent="0.2">
      <c r="A17" s="50" t="s">
        <v>30</v>
      </c>
      <c r="B17" s="11"/>
      <c r="C17" s="39" t="s">
        <v>182</v>
      </c>
      <c r="D17" s="1"/>
      <c r="E17" s="45">
        <f>+E18</f>
        <v>5.5</v>
      </c>
      <c r="F17" s="133">
        <f>+F18</f>
        <v>0</v>
      </c>
      <c r="G17" s="4"/>
      <c r="H17" s="4"/>
      <c r="I17" s="4"/>
      <c r="J17" s="4"/>
      <c r="K17" s="4"/>
      <c r="L17" s="41"/>
    </row>
    <row r="18" spans="1:12" ht="25.5" x14ac:dyDescent="0.2">
      <c r="A18" s="50" t="s">
        <v>524</v>
      </c>
      <c r="B18" s="11"/>
      <c r="C18" s="52" t="s">
        <v>197</v>
      </c>
      <c r="D18" s="14" t="s">
        <v>198</v>
      </c>
      <c r="E18" s="45">
        <v>5.5</v>
      </c>
      <c r="F18" s="133"/>
      <c r="G18" s="4"/>
      <c r="H18" s="4"/>
      <c r="I18" s="4"/>
      <c r="J18" s="4"/>
      <c r="K18" s="4"/>
      <c r="L18" s="41"/>
    </row>
    <row r="19" spans="1:12" x14ac:dyDescent="0.2">
      <c r="A19" s="50" t="s">
        <v>527</v>
      </c>
      <c r="B19" s="11" t="s">
        <v>21</v>
      </c>
      <c r="C19" s="17" t="s">
        <v>22</v>
      </c>
      <c r="D19" s="14"/>
      <c r="E19" s="51">
        <f>+E20</f>
        <v>133.20000000000002</v>
      </c>
      <c r="F19" s="51">
        <f>+F20</f>
        <v>0</v>
      </c>
      <c r="G19" s="4"/>
      <c r="H19" s="4"/>
      <c r="I19" s="4"/>
      <c r="J19" s="4"/>
      <c r="K19" s="4"/>
      <c r="L19" s="41"/>
    </row>
    <row r="20" spans="1:12" x14ac:dyDescent="0.2">
      <c r="A20" s="50" t="s">
        <v>528</v>
      </c>
      <c r="B20" s="11"/>
      <c r="C20" s="39" t="s">
        <v>182</v>
      </c>
      <c r="D20" s="14"/>
      <c r="E20" s="45">
        <f>+E21+E22</f>
        <v>133.20000000000002</v>
      </c>
      <c r="F20" s="133">
        <f>+F21</f>
        <v>0</v>
      </c>
      <c r="G20" s="4"/>
      <c r="H20" s="4"/>
      <c r="I20" s="4"/>
      <c r="J20" s="4"/>
      <c r="K20" s="4"/>
      <c r="L20" s="41"/>
    </row>
    <row r="21" spans="1:12" x14ac:dyDescent="0.2">
      <c r="A21" s="50" t="s">
        <v>395</v>
      </c>
      <c r="B21" s="11"/>
      <c r="C21" s="46" t="s">
        <v>151</v>
      </c>
      <c r="D21" s="44" t="s">
        <v>88</v>
      </c>
      <c r="E21" s="45">
        <v>9.8000000000000007</v>
      </c>
      <c r="F21" s="133"/>
      <c r="G21" s="4"/>
      <c r="H21" s="4"/>
      <c r="I21" s="4"/>
      <c r="J21" s="4"/>
      <c r="K21" s="4"/>
      <c r="L21" s="41"/>
    </row>
    <row r="22" spans="1:12" x14ac:dyDescent="0.2">
      <c r="A22" s="50" t="s">
        <v>579</v>
      </c>
      <c r="B22" s="11"/>
      <c r="C22" s="37" t="s">
        <v>576</v>
      </c>
      <c r="D22" s="44"/>
      <c r="E22" s="45">
        <v>123.4</v>
      </c>
      <c r="F22" s="133"/>
      <c r="G22" s="4"/>
      <c r="H22" s="4"/>
      <c r="I22" s="4"/>
      <c r="J22" s="4"/>
      <c r="K22" s="4"/>
      <c r="L22" s="41"/>
    </row>
    <row r="23" spans="1:12" ht="25.5" x14ac:dyDescent="0.2">
      <c r="A23" s="12">
        <v>7</v>
      </c>
      <c r="B23" s="11" t="s">
        <v>104</v>
      </c>
      <c r="C23" s="47" t="s">
        <v>105</v>
      </c>
      <c r="D23" s="14"/>
      <c r="E23" s="51">
        <f>+E24</f>
        <v>250.8</v>
      </c>
      <c r="F23" s="51">
        <v>0</v>
      </c>
      <c r="G23" s="4"/>
      <c r="H23" s="4"/>
      <c r="I23" s="4"/>
      <c r="J23" s="4"/>
      <c r="K23" s="4"/>
      <c r="L23" s="41"/>
    </row>
    <row r="24" spans="1:12" x14ac:dyDescent="0.2">
      <c r="A24" s="12">
        <v>8</v>
      </c>
      <c r="B24" s="1"/>
      <c r="C24" s="39" t="s">
        <v>182</v>
      </c>
      <c r="D24" s="14"/>
      <c r="E24" s="45">
        <f>+E25</f>
        <v>250.8</v>
      </c>
      <c r="F24" s="133">
        <v>0</v>
      </c>
      <c r="G24" s="4"/>
      <c r="H24" s="4"/>
      <c r="I24" s="4"/>
      <c r="J24" s="4"/>
      <c r="K24" s="4"/>
      <c r="L24" s="41"/>
    </row>
    <row r="25" spans="1:12" ht="25.5" x14ac:dyDescent="0.2">
      <c r="A25" s="50" t="s">
        <v>525</v>
      </c>
      <c r="B25" s="1"/>
      <c r="C25" s="39" t="s">
        <v>558</v>
      </c>
      <c r="D25" s="1" t="s">
        <v>156</v>
      </c>
      <c r="E25" s="45">
        <v>250.8</v>
      </c>
      <c r="F25" s="133"/>
      <c r="G25" s="4"/>
      <c r="H25" s="4"/>
      <c r="I25" s="4"/>
      <c r="J25" s="4"/>
      <c r="K25" s="4"/>
      <c r="L25" s="41"/>
    </row>
    <row r="26" spans="1:12" ht="18" customHeight="1" x14ac:dyDescent="0.2">
      <c r="A26" s="12">
        <v>9</v>
      </c>
      <c r="B26" s="11" t="s">
        <v>84</v>
      </c>
      <c r="C26" s="40" t="s">
        <v>85</v>
      </c>
      <c r="D26" s="1"/>
      <c r="E26" s="51">
        <f>+E27</f>
        <v>168.9</v>
      </c>
      <c r="F26" s="51">
        <f>+F27</f>
        <v>0</v>
      </c>
      <c r="G26" s="4"/>
      <c r="H26" s="4"/>
      <c r="I26" s="4"/>
      <c r="J26" s="4"/>
      <c r="K26" s="4"/>
      <c r="L26" s="41"/>
    </row>
    <row r="27" spans="1:12" ht="12.6" customHeight="1" x14ac:dyDescent="0.2">
      <c r="A27" s="12">
        <v>10</v>
      </c>
      <c r="B27" s="1"/>
      <c r="C27" s="39" t="s">
        <v>182</v>
      </c>
      <c r="D27" s="14"/>
      <c r="E27" s="45">
        <f>+E28+E29+E30</f>
        <v>168.9</v>
      </c>
      <c r="F27" s="45">
        <f>+F28</f>
        <v>0</v>
      </c>
      <c r="G27" s="4"/>
      <c r="H27" s="4"/>
      <c r="I27" s="4"/>
      <c r="J27" s="4"/>
      <c r="K27" s="4"/>
      <c r="L27" s="41"/>
    </row>
    <row r="28" spans="1:12" ht="25.5" x14ac:dyDescent="0.2">
      <c r="A28" s="50" t="s">
        <v>526</v>
      </c>
      <c r="B28" s="1"/>
      <c r="C28" s="39" t="s">
        <v>263</v>
      </c>
      <c r="D28" s="14" t="s">
        <v>266</v>
      </c>
      <c r="E28" s="45">
        <v>75</v>
      </c>
      <c r="F28" s="133"/>
      <c r="G28" s="4"/>
      <c r="H28" s="4"/>
      <c r="I28" s="4"/>
      <c r="J28" s="4"/>
      <c r="K28" s="4"/>
      <c r="L28" s="41"/>
    </row>
    <row r="29" spans="1:12" x14ac:dyDescent="0.2">
      <c r="A29" s="50" t="s">
        <v>583</v>
      </c>
      <c r="B29" s="1"/>
      <c r="C29" s="22" t="s">
        <v>556</v>
      </c>
      <c r="D29" s="14" t="s">
        <v>557</v>
      </c>
      <c r="E29" s="45">
        <v>35.200000000000003</v>
      </c>
      <c r="F29" s="133"/>
      <c r="G29" s="4"/>
      <c r="H29" s="4"/>
      <c r="I29" s="4"/>
      <c r="J29" s="4"/>
      <c r="K29" s="4"/>
      <c r="L29" s="41"/>
    </row>
    <row r="30" spans="1:12" ht="38.25" x14ac:dyDescent="0.2">
      <c r="A30" s="50" t="s">
        <v>787</v>
      </c>
      <c r="B30" s="1"/>
      <c r="C30" s="15" t="s">
        <v>760</v>
      </c>
      <c r="D30" s="14" t="s">
        <v>761</v>
      </c>
      <c r="E30" s="45">
        <v>58.7</v>
      </c>
      <c r="F30" s="133"/>
      <c r="G30" s="4"/>
      <c r="H30" s="4"/>
      <c r="I30" s="4"/>
      <c r="J30" s="4"/>
      <c r="K30" s="4"/>
      <c r="L30" s="41"/>
    </row>
    <row r="31" spans="1:12" ht="18" customHeight="1" x14ac:dyDescent="0.2">
      <c r="A31" s="12">
        <v>11</v>
      </c>
      <c r="B31" s="11" t="s">
        <v>89</v>
      </c>
      <c r="C31" s="17" t="s">
        <v>90</v>
      </c>
      <c r="D31" s="1"/>
      <c r="E31" s="51">
        <f>+E32</f>
        <v>364.1</v>
      </c>
      <c r="F31" s="51">
        <f>+F32</f>
        <v>0</v>
      </c>
      <c r="G31" s="4"/>
      <c r="H31" s="4"/>
      <c r="I31" s="4"/>
      <c r="J31" s="4"/>
      <c r="K31" s="4"/>
      <c r="L31" s="41"/>
    </row>
    <row r="32" spans="1:12" x14ac:dyDescent="0.2">
      <c r="A32" s="12">
        <v>12</v>
      </c>
      <c r="B32" s="1"/>
      <c r="C32" s="39" t="s">
        <v>182</v>
      </c>
      <c r="D32" s="1"/>
      <c r="E32" s="45">
        <f>+E33+E34</f>
        <v>364.1</v>
      </c>
      <c r="F32" s="133">
        <f>+F33+F34</f>
        <v>0</v>
      </c>
      <c r="G32" s="4"/>
      <c r="H32" s="4"/>
      <c r="I32" s="4"/>
      <c r="J32" s="4"/>
      <c r="K32" s="4"/>
      <c r="L32" s="41"/>
    </row>
    <row r="33" spans="1:13" ht="29.25" customHeight="1" x14ac:dyDescent="0.2">
      <c r="A33" s="50" t="s">
        <v>580</v>
      </c>
      <c r="B33" s="1"/>
      <c r="C33" s="38" t="s">
        <v>152</v>
      </c>
      <c r="D33" s="1" t="s">
        <v>92</v>
      </c>
      <c r="E33" s="45">
        <f>367-12.9</f>
        <v>354.1</v>
      </c>
      <c r="F33" s="133"/>
      <c r="G33" s="4"/>
      <c r="H33" s="4"/>
      <c r="I33" s="4"/>
      <c r="J33" s="4"/>
      <c r="K33" s="4"/>
      <c r="L33" s="41"/>
      <c r="M33" s="2" t="s">
        <v>345</v>
      </c>
    </row>
    <row r="34" spans="1:13" ht="38.25" x14ac:dyDescent="0.2">
      <c r="A34" s="50" t="s">
        <v>581</v>
      </c>
      <c r="B34" s="1"/>
      <c r="C34" s="38" t="s">
        <v>191</v>
      </c>
      <c r="D34" s="1" t="s">
        <v>143</v>
      </c>
      <c r="E34" s="45">
        <v>10</v>
      </c>
      <c r="F34" s="133"/>
      <c r="G34" s="4"/>
      <c r="H34" s="4"/>
      <c r="I34" s="4"/>
      <c r="J34" s="4"/>
      <c r="K34" s="4"/>
      <c r="L34" s="41"/>
    </row>
    <row r="35" spans="1:13" x14ac:dyDescent="0.2">
      <c r="A35" s="50" t="s">
        <v>559</v>
      </c>
      <c r="B35" s="11" t="s">
        <v>32</v>
      </c>
      <c r="C35" s="17" t="s">
        <v>33</v>
      </c>
      <c r="D35" s="1"/>
      <c r="E35" s="51">
        <f>+E36</f>
        <v>76</v>
      </c>
      <c r="F35" s="51">
        <f>+F36</f>
        <v>0</v>
      </c>
      <c r="G35" s="4"/>
      <c r="H35" s="4"/>
      <c r="I35" s="4"/>
      <c r="J35" s="4"/>
      <c r="K35" s="4"/>
      <c r="L35" s="41"/>
    </row>
    <row r="36" spans="1:13" x14ac:dyDescent="0.2">
      <c r="A36" s="50" t="s">
        <v>584</v>
      </c>
      <c r="B36" s="1"/>
      <c r="C36" s="39" t="s">
        <v>182</v>
      </c>
      <c r="D36" s="1"/>
      <c r="E36" s="45">
        <f>+E37</f>
        <v>76</v>
      </c>
      <c r="F36" s="45">
        <f>+F37</f>
        <v>0</v>
      </c>
      <c r="G36" s="4"/>
      <c r="H36" s="4"/>
      <c r="I36" s="4"/>
      <c r="J36" s="4"/>
      <c r="K36" s="4"/>
      <c r="L36" s="41"/>
    </row>
    <row r="37" spans="1:13" ht="38.25" x14ac:dyDescent="0.2">
      <c r="A37" s="50" t="s">
        <v>582</v>
      </c>
      <c r="B37" s="1"/>
      <c r="C37" s="38" t="s">
        <v>446</v>
      </c>
      <c r="D37" s="14" t="s">
        <v>144</v>
      </c>
      <c r="E37" s="45">
        <v>76</v>
      </c>
      <c r="F37" s="133"/>
      <c r="G37" s="4"/>
      <c r="H37" s="4"/>
      <c r="I37" s="4"/>
      <c r="J37" s="4"/>
      <c r="K37" s="4"/>
      <c r="L37" s="41"/>
    </row>
    <row r="38" spans="1:13" ht="15.75" customHeight="1" x14ac:dyDescent="0.2">
      <c r="A38" s="12">
        <v>15</v>
      </c>
      <c r="B38" s="1"/>
      <c r="C38" s="32" t="s">
        <v>20</v>
      </c>
      <c r="D38" s="1"/>
      <c r="E38" s="29">
        <f>+E10+E16+E19+E23+E26+E31+E35</f>
        <v>1987.3000000000002</v>
      </c>
      <c r="F38" s="29">
        <f>+F10+F16+F19+F23+F26+F31+F35</f>
        <v>0</v>
      </c>
      <c r="G38" s="4"/>
      <c r="H38" s="4"/>
      <c r="I38" s="4"/>
      <c r="J38" s="4"/>
      <c r="K38" s="4"/>
      <c r="L38" s="4"/>
    </row>
    <row r="39" spans="1:13" x14ac:dyDescent="0.2">
      <c r="C39" s="3" t="s">
        <v>108</v>
      </c>
      <c r="E39" s="31"/>
      <c r="F39" s="31"/>
    </row>
    <row r="40" spans="1:13" x14ac:dyDescent="0.2">
      <c r="D40" s="6"/>
      <c r="E40" s="31"/>
      <c r="F40" s="31"/>
    </row>
    <row r="41" spans="1:13" x14ac:dyDescent="0.2">
      <c r="C41" s="130"/>
      <c r="E41" s="134"/>
      <c r="F41" s="134"/>
    </row>
    <row r="42" spans="1:13" x14ac:dyDescent="0.2">
      <c r="C42" s="5"/>
      <c r="D42" s="6"/>
      <c r="E42" s="31"/>
      <c r="F42" s="31"/>
    </row>
    <row r="43" spans="1:13" x14ac:dyDescent="0.2">
      <c r="C43" s="36"/>
      <c r="E43" s="31"/>
      <c r="F43" s="31"/>
    </row>
    <row r="44" spans="1:13" x14ac:dyDescent="0.2">
      <c r="C44" s="36"/>
      <c r="E44" s="31"/>
      <c r="F44" s="31"/>
    </row>
    <row r="45" spans="1:13" x14ac:dyDescent="0.2">
      <c r="F45" s="31"/>
    </row>
    <row r="46" spans="1:13" x14ac:dyDescent="0.2">
      <c r="C46" s="5"/>
      <c r="E46" s="31"/>
      <c r="F46" s="31"/>
    </row>
    <row r="47" spans="1:13" x14ac:dyDescent="0.2">
      <c r="C47" s="5"/>
    </row>
    <row r="48" spans="1:13" x14ac:dyDescent="0.2">
      <c r="C48" s="5"/>
    </row>
    <row r="49" spans="3:6" x14ac:dyDescent="0.2">
      <c r="C49" s="5"/>
      <c r="E49" s="31"/>
      <c r="F49" s="31"/>
    </row>
    <row r="50" spans="3:6" x14ac:dyDescent="0.2">
      <c r="C50" s="5"/>
      <c r="E50" s="31"/>
      <c r="F50" s="31"/>
    </row>
    <row r="51" spans="3:6" x14ac:dyDescent="0.2">
      <c r="C51" s="53"/>
      <c r="D51" s="3"/>
      <c r="E51" s="31"/>
      <c r="F51" s="31"/>
    </row>
    <row r="52" spans="3:6" x14ac:dyDescent="0.2">
      <c r="C52" s="54"/>
      <c r="D52" s="31"/>
    </row>
    <row r="53" spans="3:6" x14ac:dyDescent="0.2">
      <c r="C53" s="5"/>
      <c r="D53" s="31"/>
    </row>
    <row r="54" spans="3:6" x14ac:dyDescent="0.2">
      <c r="C54" s="5"/>
      <c r="D54" s="135"/>
    </row>
    <row r="55" spans="3:6" x14ac:dyDescent="0.2">
      <c r="C55" s="5"/>
    </row>
    <row r="56" spans="3:6" x14ac:dyDescent="0.2">
      <c r="C56" s="5"/>
    </row>
    <row r="57" spans="3:6" x14ac:dyDescent="0.2">
      <c r="D57" s="3"/>
    </row>
    <row r="59" spans="3:6" x14ac:dyDescent="0.2">
      <c r="C59" s="5"/>
    </row>
  </sheetData>
  <mergeCells count="4">
    <mergeCell ref="C1:F1"/>
    <mergeCell ref="C2:F2"/>
    <mergeCell ref="E3:F3"/>
    <mergeCell ref="A5:F5"/>
  </mergeCells>
  <phoneticPr fontId="5" type="noConversion"/>
  <pageMargins left="0.70866141732283472" right="0" top="0.55118110236220474" bottom="0.19685039370078741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0"/>
  <sheetViews>
    <sheetView zoomScaleNormal="100" workbookViewId="0">
      <selection activeCell="L18" sqref="L18"/>
    </sheetView>
  </sheetViews>
  <sheetFormatPr defaultColWidth="9.140625" defaultRowHeight="12.75" x14ac:dyDescent="0.2"/>
  <cols>
    <col min="1" max="1" width="3.85546875" style="3" customWidth="1"/>
    <col min="2" max="2" width="7.28515625" style="7" customWidth="1"/>
    <col min="3" max="3" width="55.140625" style="130" customWidth="1"/>
    <col min="4" max="4" width="10.28515625" style="55" customWidth="1"/>
    <col min="5" max="5" width="7.7109375" style="5" customWidth="1"/>
    <col min="6" max="6" width="11.140625" style="5" customWidth="1"/>
    <col min="7" max="16384" width="9.140625" style="2"/>
  </cols>
  <sheetData>
    <row r="1" spans="1:8" ht="15.75" x14ac:dyDescent="0.25">
      <c r="C1" s="144" t="s">
        <v>194</v>
      </c>
      <c r="D1" s="144"/>
      <c r="E1" s="144"/>
      <c r="F1" s="144"/>
    </row>
    <row r="2" spans="1:8" ht="15.75" x14ac:dyDescent="0.25">
      <c r="C2" s="144" t="s">
        <v>792</v>
      </c>
      <c r="D2" s="144"/>
      <c r="E2" s="144"/>
      <c r="F2" s="144"/>
    </row>
    <row r="3" spans="1:8" ht="15.75" x14ac:dyDescent="0.25">
      <c r="C3" s="35"/>
      <c r="D3" s="35"/>
      <c r="E3" s="165" t="s">
        <v>209</v>
      </c>
      <c r="F3" s="165"/>
    </row>
    <row r="4" spans="1:8" ht="12" customHeight="1" x14ac:dyDescent="0.2">
      <c r="C4" s="6"/>
      <c r="D4" s="6"/>
      <c r="E4" s="6"/>
      <c r="F4" s="6"/>
    </row>
    <row r="5" spans="1:8" ht="25.5" customHeight="1" x14ac:dyDescent="0.2">
      <c r="A5" s="166" t="s">
        <v>410</v>
      </c>
      <c r="B5" s="166"/>
      <c r="C5" s="166"/>
      <c r="D5" s="166"/>
      <c r="E5" s="166"/>
      <c r="F5" s="166"/>
    </row>
    <row r="6" spans="1:8" x14ac:dyDescent="0.2">
      <c r="A6" s="24"/>
      <c r="B6" s="24"/>
      <c r="C6" s="24"/>
      <c r="D6" s="24"/>
      <c r="E6" s="24"/>
      <c r="F6" s="24"/>
    </row>
    <row r="7" spans="1:8" x14ac:dyDescent="0.2">
      <c r="F7" s="34" t="s">
        <v>129</v>
      </c>
    </row>
    <row r="8" spans="1:8" ht="51.75" customHeight="1" x14ac:dyDescent="0.2">
      <c r="A8" s="8" t="s">
        <v>118</v>
      </c>
      <c r="B8" s="9" t="s">
        <v>329</v>
      </c>
      <c r="C8" s="8" t="s">
        <v>16</v>
      </c>
      <c r="D8" s="9" t="s">
        <v>55</v>
      </c>
      <c r="E8" s="8" t="s">
        <v>17</v>
      </c>
      <c r="F8" s="8" t="s">
        <v>29</v>
      </c>
    </row>
    <row r="9" spans="1:8" s="30" customFormat="1" ht="12" customHeight="1" x14ac:dyDescent="0.2">
      <c r="A9" s="10">
        <v>1</v>
      </c>
      <c r="B9" s="11" t="s">
        <v>18</v>
      </c>
      <c r="C9" s="8">
        <v>3</v>
      </c>
      <c r="D9" s="9">
        <v>4</v>
      </c>
      <c r="E9" s="8">
        <v>5</v>
      </c>
      <c r="F9" s="8">
        <v>6</v>
      </c>
    </row>
    <row r="10" spans="1:8" s="30" customFormat="1" ht="20.100000000000001" customHeight="1" x14ac:dyDescent="0.2">
      <c r="A10" s="12">
        <v>1</v>
      </c>
      <c r="B10" s="9" t="s">
        <v>65</v>
      </c>
      <c r="C10" s="13" t="s">
        <v>66</v>
      </c>
      <c r="D10" s="9"/>
      <c r="E10" s="29">
        <f>SUM(+E11+E13+E15)</f>
        <v>506.59999999999997</v>
      </c>
      <c r="F10" s="29">
        <f>SUM(+F11+F13+F15)</f>
        <v>375.1</v>
      </c>
      <c r="G10" s="56"/>
      <c r="H10" s="136"/>
    </row>
    <row r="11" spans="1:8" s="30" customFormat="1" ht="24.75" customHeight="1" x14ac:dyDescent="0.25">
      <c r="A11" s="12">
        <v>2</v>
      </c>
      <c r="B11" s="14" t="s">
        <v>210</v>
      </c>
      <c r="C11" s="116" t="s">
        <v>398</v>
      </c>
      <c r="D11" s="14" t="s">
        <v>208</v>
      </c>
      <c r="E11" s="137">
        <f>+E12</f>
        <v>416.4</v>
      </c>
      <c r="F11" s="137">
        <f>+F12</f>
        <v>348.3</v>
      </c>
      <c r="G11" s="56"/>
      <c r="H11" s="138"/>
    </row>
    <row r="12" spans="1:8" s="30" customFormat="1" ht="12.6" customHeight="1" x14ac:dyDescent="0.2">
      <c r="A12" s="12">
        <v>3</v>
      </c>
      <c r="B12" s="14"/>
      <c r="C12" s="109" t="s">
        <v>205</v>
      </c>
      <c r="D12" s="9"/>
      <c r="E12" s="28">
        <v>416.4</v>
      </c>
      <c r="F12" s="28">
        <v>348.3</v>
      </c>
      <c r="G12" s="56"/>
      <c r="H12" s="56"/>
    </row>
    <row r="13" spans="1:8" s="30" customFormat="1" ht="25.5" x14ac:dyDescent="0.2">
      <c r="A13" s="12">
        <v>4</v>
      </c>
      <c r="B13" s="14" t="s">
        <v>211</v>
      </c>
      <c r="C13" s="116" t="s">
        <v>540</v>
      </c>
      <c r="D13" s="14" t="s">
        <v>208</v>
      </c>
      <c r="E13" s="137">
        <f>+E14</f>
        <v>88.4</v>
      </c>
      <c r="F13" s="137">
        <f>+F14</f>
        <v>25</v>
      </c>
      <c r="G13" s="56"/>
      <c r="H13" s="56"/>
    </row>
    <row r="14" spans="1:8" s="30" customFormat="1" ht="12.6" customHeight="1" x14ac:dyDescent="0.2">
      <c r="A14" s="12">
        <v>5</v>
      </c>
      <c r="B14" s="14"/>
      <c r="C14" s="109" t="s">
        <v>205</v>
      </c>
      <c r="D14" s="9"/>
      <c r="E14" s="28">
        <v>88.4</v>
      </c>
      <c r="F14" s="28">
        <v>25</v>
      </c>
      <c r="G14" s="56"/>
      <c r="H14" s="56"/>
    </row>
    <row r="15" spans="1:8" s="30" customFormat="1" ht="12.6" customHeight="1" x14ac:dyDescent="0.2">
      <c r="A15" s="12">
        <v>6</v>
      </c>
      <c r="B15" s="14" t="s">
        <v>212</v>
      </c>
      <c r="C15" s="116" t="s">
        <v>213</v>
      </c>
      <c r="D15" s="14" t="s">
        <v>69</v>
      </c>
      <c r="E15" s="137">
        <f>+E16</f>
        <v>1.8</v>
      </c>
      <c r="F15" s="137">
        <f>+F16</f>
        <v>1.8</v>
      </c>
      <c r="G15" s="56"/>
      <c r="H15" s="56"/>
    </row>
    <row r="16" spans="1:8" s="30" customFormat="1" ht="12.6" customHeight="1" x14ac:dyDescent="0.2">
      <c r="A16" s="12">
        <v>7</v>
      </c>
      <c r="B16" s="9"/>
      <c r="C16" s="26" t="s">
        <v>3</v>
      </c>
      <c r="D16" s="9"/>
      <c r="E16" s="28">
        <v>1.8</v>
      </c>
      <c r="F16" s="28">
        <v>1.8</v>
      </c>
      <c r="G16" s="56"/>
      <c r="H16" s="56"/>
    </row>
    <row r="17" spans="1:11" ht="18" customHeight="1" x14ac:dyDescent="0.2">
      <c r="A17" s="12">
        <v>8</v>
      </c>
      <c r="B17" s="11" t="s">
        <v>21</v>
      </c>
      <c r="C17" s="17" t="s">
        <v>22</v>
      </c>
      <c r="D17" s="1"/>
      <c r="E17" s="29">
        <f>SUM(E18+E24+E26+E28+E41+E43+E45)</f>
        <v>3207.3999999999996</v>
      </c>
      <c r="F17" s="29">
        <f>SUM(F18+F24+F26+F28+F41+F43+F45)</f>
        <v>1521.7000000000003</v>
      </c>
      <c r="G17" s="4"/>
      <c r="H17" s="4"/>
    </row>
    <row r="18" spans="1:11" ht="24.95" customHeight="1" x14ac:dyDescent="0.2">
      <c r="A18" s="12">
        <v>9</v>
      </c>
      <c r="B18" s="1" t="s">
        <v>214</v>
      </c>
      <c r="C18" s="116" t="s">
        <v>215</v>
      </c>
      <c r="D18" s="18" t="s">
        <v>24</v>
      </c>
      <c r="E18" s="57">
        <f>SUM(E19:E23)</f>
        <v>650</v>
      </c>
      <c r="F18" s="57">
        <f>SUM(F19:F23)</f>
        <v>375.9</v>
      </c>
      <c r="G18" s="4"/>
      <c r="H18" s="4"/>
      <c r="K18" s="59"/>
    </row>
    <row r="19" spans="1:11" ht="12.6" customHeight="1" x14ac:dyDescent="0.2">
      <c r="A19" s="12">
        <v>10</v>
      </c>
      <c r="B19" s="1"/>
      <c r="C19" s="16" t="s">
        <v>1</v>
      </c>
      <c r="D19" s="18"/>
      <c r="E19" s="19">
        <v>212</v>
      </c>
      <c r="F19" s="19">
        <v>208.7</v>
      </c>
      <c r="G19" s="4"/>
      <c r="H19" s="4"/>
    </row>
    <row r="20" spans="1:11" ht="12.6" customHeight="1" x14ac:dyDescent="0.2">
      <c r="A20" s="12">
        <v>11</v>
      </c>
      <c r="B20" s="1"/>
      <c r="C20" s="46" t="s">
        <v>2</v>
      </c>
      <c r="D20" s="18"/>
      <c r="E20" s="19">
        <v>80</v>
      </c>
      <c r="F20" s="19">
        <v>78.8</v>
      </c>
      <c r="G20" s="4"/>
      <c r="H20" s="4"/>
    </row>
    <row r="21" spans="1:11" ht="12.6" customHeight="1" x14ac:dyDescent="0.2">
      <c r="A21" s="12">
        <v>12</v>
      </c>
      <c r="B21" s="1"/>
      <c r="C21" s="46" t="s">
        <v>15</v>
      </c>
      <c r="D21" s="18"/>
      <c r="E21" s="19">
        <v>51</v>
      </c>
      <c r="F21" s="19">
        <v>31</v>
      </c>
      <c r="G21" s="4"/>
      <c r="H21" s="4"/>
    </row>
    <row r="22" spans="1:11" ht="12.6" customHeight="1" x14ac:dyDescent="0.2">
      <c r="A22" s="12">
        <v>13</v>
      </c>
      <c r="B22" s="1"/>
      <c r="C22" s="46" t="s">
        <v>19</v>
      </c>
      <c r="D22" s="18"/>
      <c r="E22" s="19">
        <v>60</v>
      </c>
      <c r="F22" s="19">
        <f>59.1-1.7</f>
        <v>57.4</v>
      </c>
      <c r="G22" s="4"/>
      <c r="H22" s="4"/>
    </row>
    <row r="23" spans="1:11" ht="12.6" customHeight="1" x14ac:dyDescent="0.2">
      <c r="A23" s="103">
        <v>14</v>
      </c>
      <c r="B23" s="44"/>
      <c r="C23" s="26" t="s">
        <v>3</v>
      </c>
      <c r="D23" s="18"/>
      <c r="E23" s="19">
        <v>247</v>
      </c>
      <c r="F23" s="19"/>
      <c r="G23" s="4"/>
      <c r="H23" s="4"/>
    </row>
    <row r="24" spans="1:11" ht="24.95" customHeight="1" x14ac:dyDescent="0.2">
      <c r="A24" s="12">
        <v>15</v>
      </c>
      <c r="B24" s="1" t="s">
        <v>216</v>
      </c>
      <c r="C24" s="116" t="s">
        <v>217</v>
      </c>
      <c r="D24" s="1" t="s">
        <v>23</v>
      </c>
      <c r="E24" s="57">
        <f>SUM(E25:E25)</f>
        <v>872.1</v>
      </c>
      <c r="F24" s="57">
        <f>SUM(F25:F25)</f>
        <v>839</v>
      </c>
      <c r="G24" s="4"/>
      <c r="H24" s="4"/>
    </row>
    <row r="25" spans="1:11" ht="12.6" customHeight="1" x14ac:dyDescent="0.2">
      <c r="A25" s="12">
        <v>16</v>
      </c>
      <c r="B25" s="1"/>
      <c r="C25" s="16" t="s">
        <v>148</v>
      </c>
      <c r="D25" s="1"/>
      <c r="E25" s="19">
        <v>872.1</v>
      </c>
      <c r="F25" s="19">
        <v>839</v>
      </c>
      <c r="G25" s="4"/>
      <c r="H25" s="4"/>
    </row>
    <row r="26" spans="1:11" ht="25.5" x14ac:dyDescent="0.2">
      <c r="A26" s="12">
        <v>17</v>
      </c>
      <c r="B26" s="1" t="s">
        <v>218</v>
      </c>
      <c r="C26" s="116" t="s">
        <v>405</v>
      </c>
      <c r="D26" s="1" t="s">
        <v>23</v>
      </c>
      <c r="E26" s="57">
        <f>SUM(E27:E27)</f>
        <v>136</v>
      </c>
      <c r="F26" s="57">
        <f>SUM(F27:F27)</f>
        <v>130.9</v>
      </c>
      <c r="G26" s="4"/>
      <c r="H26" s="4"/>
    </row>
    <row r="27" spans="1:11" x14ac:dyDescent="0.2">
      <c r="A27" s="12">
        <v>18</v>
      </c>
      <c r="B27" s="1"/>
      <c r="C27" s="16" t="s">
        <v>148</v>
      </c>
      <c r="D27" s="1"/>
      <c r="E27" s="19">
        <v>136</v>
      </c>
      <c r="F27" s="19">
        <f>134.1-3.2</f>
        <v>130.9</v>
      </c>
      <c r="G27" s="4"/>
      <c r="H27" s="4"/>
    </row>
    <row r="28" spans="1:11" ht="45.6" customHeight="1" x14ac:dyDescent="0.2">
      <c r="A28" s="12">
        <v>19</v>
      </c>
      <c r="B28" s="1" t="s">
        <v>221</v>
      </c>
      <c r="C28" s="116" t="s">
        <v>219</v>
      </c>
      <c r="D28" s="14" t="s">
        <v>220</v>
      </c>
      <c r="E28" s="57">
        <f>SUM(E29:E40)</f>
        <v>398.5</v>
      </c>
      <c r="F28" s="57">
        <f>SUM(F29:F40)</f>
        <v>11.3</v>
      </c>
      <c r="G28" s="4"/>
      <c r="H28" s="4"/>
    </row>
    <row r="29" spans="1:11" ht="12.6" customHeight="1" x14ac:dyDescent="0.2">
      <c r="A29" s="12">
        <v>20</v>
      </c>
      <c r="B29" s="1"/>
      <c r="C29" s="26" t="s">
        <v>3</v>
      </c>
      <c r="D29" s="14"/>
      <c r="E29" s="19">
        <v>5</v>
      </c>
      <c r="F29" s="19"/>
      <c r="G29" s="4"/>
      <c r="H29" s="4"/>
    </row>
    <row r="30" spans="1:11" ht="12.6" customHeight="1" x14ac:dyDescent="0.2">
      <c r="A30" s="12">
        <v>21</v>
      </c>
      <c r="B30" s="1"/>
      <c r="C30" s="15" t="s">
        <v>8</v>
      </c>
      <c r="D30" s="1"/>
      <c r="E30" s="19">
        <v>202.7</v>
      </c>
      <c r="F30" s="19">
        <v>5.8</v>
      </c>
      <c r="G30" s="4"/>
      <c r="H30" s="4"/>
    </row>
    <row r="31" spans="1:11" ht="12.6" customHeight="1" x14ac:dyDescent="0.2">
      <c r="A31" s="12">
        <v>22</v>
      </c>
      <c r="B31" s="1"/>
      <c r="C31" s="15" t="s">
        <v>4</v>
      </c>
      <c r="D31" s="1"/>
      <c r="E31" s="19">
        <v>40.799999999999997</v>
      </c>
      <c r="F31" s="19">
        <v>1.2</v>
      </c>
      <c r="G31" s="4"/>
      <c r="H31" s="4"/>
    </row>
    <row r="32" spans="1:11" ht="12.6" customHeight="1" x14ac:dyDescent="0.2">
      <c r="A32" s="12">
        <v>23</v>
      </c>
      <c r="B32" s="1"/>
      <c r="C32" s="15" t="s">
        <v>5</v>
      </c>
      <c r="D32" s="1"/>
      <c r="E32" s="19">
        <v>13.7</v>
      </c>
      <c r="F32" s="19">
        <v>0.4</v>
      </c>
      <c r="G32" s="4"/>
      <c r="H32" s="4"/>
    </row>
    <row r="33" spans="1:8" ht="12.6" customHeight="1" x14ac:dyDescent="0.2">
      <c r="A33" s="12">
        <v>24</v>
      </c>
      <c r="B33" s="1"/>
      <c r="C33" s="15" t="s">
        <v>7</v>
      </c>
      <c r="D33" s="1"/>
      <c r="E33" s="19">
        <v>21.4</v>
      </c>
      <c r="F33" s="19">
        <v>0.6</v>
      </c>
      <c r="G33" s="4"/>
      <c r="H33" s="4"/>
    </row>
    <row r="34" spans="1:8" ht="12.6" customHeight="1" x14ac:dyDescent="0.2">
      <c r="A34" s="12">
        <v>25</v>
      </c>
      <c r="B34" s="1"/>
      <c r="C34" s="15" t="s">
        <v>6</v>
      </c>
      <c r="D34" s="1"/>
      <c r="E34" s="19">
        <v>18.100000000000001</v>
      </c>
      <c r="F34" s="19">
        <v>0.5</v>
      </c>
      <c r="G34" s="4"/>
      <c r="H34" s="4"/>
    </row>
    <row r="35" spans="1:8" ht="12.6" customHeight="1" x14ac:dyDescent="0.2">
      <c r="A35" s="12">
        <v>26</v>
      </c>
      <c r="B35" s="1"/>
      <c r="C35" s="15" t="s">
        <v>9</v>
      </c>
      <c r="D35" s="1"/>
      <c r="E35" s="19">
        <v>27.8</v>
      </c>
      <c r="F35" s="19">
        <v>0.8</v>
      </c>
      <c r="G35" s="4"/>
      <c r="H35" s="4"/>
    </row>
    <row r="36" spans="1:8" ht="12.6" customHeight="1" x14ac:dyDescent="0.2">
      <c r="A36" s="12">
        <v>27</v>
      </c>
      <c r="B36" s="1"/>
      <c r="C36" s="16" t="s">
        <v>10</v>
      </c>
      <c r="D36" s="1"/>
      <c r="E36" s="19">
        <v>13.3</v>
      </c>
      <c r="F36" s="19">
        <v>0.4</v>
      </c>
      <c r="G36" s="4"/>
      <c r="H36" s="4"/>
    </row>
    <row r="37" spans="1:8" ht="12.6" customHeight="1" x14ac:dyDescent="0.2">
      <c r="A37" s="12">
        <v>28</v>
      </c>
      <c r="B37" s="1"/>
      <c r="C37" s="15" t="s">
        <v>12</v>
      </c>
      <c r="D37" s="1"/>
      <c r="E37" s="19">
        <v>8.4</v>
      </c>
      <c r="F37" s="19">
        <v>0.2</v>
      </c>
      <c r="G37" s="4"/>
      <c r="H37" s="4"/>
    </row>
    <row r="38" spans="1:8" ht="12.6" customHeight="1" x14ac:dyDescent="0.2">
      <c r="A38" s="12">
        <v>29</v>
      </c>
      <c r="B38" s="1"/>
      <c r="C38" s="15" t="s">
        <v>11</v>
      </c>
      <c r="D38" s="1"/>
      <c r="E38" s="19">
        <v>17.399999999999999</v>
      </c>
      <c r="F38" s="19">
        <v>0.5</v>
      </c>
      <c r="G38" s="4"/>
      <c r="H38" s="4"/>
    </row>
    <row r="39" spans="1:8" ht="12.6" customHeight="1" x14ac:dyDescent="0.2">
      <c r="A39" s="12">
        <v>30</v>
      </c>
      <c r="B39" s="1"/>
      <c r="C39" s="15" t="s">
        <v>13</v>
      </c>
      <c r="D39" s="1"/>
      <c r="E39" s="19">
        <v>10.1</v>
      </c>
      <c r="F39" s="19">
        <v>0.3</v>
      </c>
      <c r="G39" s="4"/>
      <c r="H39" s="4"/>
    </row>
    <row r="40" spans="1:8" ht="12.6" customHeight="1" x14ac:dyDescent="0.2">
      <c r="A40" s="12">
        <v>31</v>
      </c>
      <c r="B40" s="1"/>
      <c r="C40" s="15" t="s">
        <v>14</v>
      </c>
      <c r="D40" s="1"/>
      <c r="E40" s="19">
        <v>19.8</v>
      </c>
      <c r="F40" s="19">
        <v>0.6</v>
      </c>
      <c r="G40" s="4"/>
      <c r="H40" s="4"/>
    </row>
    <row r="41" spans="1:8" ht="29.25" customHeight="1" x14ac:dyDescent="0.2">
      <c r="A41" s="12">
        <v>32</v>
      </c>
      <c r="B41" s="1" t="s">
        <v>223</v>
      </c>
      <c r="C41" s="67" t="s">
        <v>222</v>
      </c>
      <c r="D41" s="1" t="s">
        <v>31</v>
      </c>
      <c r="E41" s="57">
        <f>+E42</f>
        <v>947.6</v>
      </c>
      <c r="F41" s="57">
        <f>+F42</f>
        <v>16.8</v>
      </c>
      <c r="G41" s="4"/>
      <c r="H41" s="4"/>
    </row>
    <row r="42" spans="1:8" ht="12.6" customHeight="1" x14ac:dyDescent="0.2">
      <c r="A42" s="12">
        <v>33</v>
      </c>
      <c r="B42" s="1"/>
      <c r="C42" s="26" t="s">
        <v>3</v>
      </c>
      <c r="D42" s="1"/>
      <c r="E42" s="19">
        <v>947.6</v>
      </c>
      <c r="F42" s="19">
        <v>16.8</v>
      </c>
      <c r="G42" s="4"/>
      <c r="H42" s="4"/>
    </row>
    <row r="43" spans="1:8" ht="24.95" customHeight="1" x14ac:dyDescent="0.2">
      <c r="A43" s="12">
        <v>34</v>
      </c>
      <c r="B43" s="1" t="s">
        <v>401</v>
      </c>
      <c r="C43" s="67" t="s">
        <v>224</v>
      </c>
      <c r="D43" s="1" t="s">
        <v>72</v>
      </c>
      <c r="E43" s="57">
        <f>+E44</f>
        <v>13.1</v>
      </c>
      <c r="F43" s="57">
        <f>+F44</f>
        <v>0.4</v>
      </c>
      <c r="G43" s="4"/>
      <c r="H43" s="4"/>
    </row>
    <row r="44" spans="1:8" ht="12.6" customHeight="1" x14ac:dyDescent="0.2">
      <c r="A44" s="12">
        <v>35</v>
      </c>
      <c r="B44" s="1"/>
      <c r="C44" s="26" t="s">
        <v>3</v>
      </c>
      <c r="D44" s="1"/>
      <c r="E44" s="19">
        <f>11.1+2</f>
        <v>13.1</v>
      </c>
      <c r="F44" s="19">
        <v>0.4</v>
      </c>
      <c r="G44" s="4"/>
      <c r="H44" s="4"/>
    </row>
    <row r="45" spans="1:8" ht="12.6" customHeight="1" x14ac:dyDescent="0.2">
      <c r="A45" s="12">
        <v>36</v>
      </c>
      <c r="B45" s="1" t="s">
        <v>542</v>
      </c>
      <c r="C45" s="67" t="s">
        <v>533</v>
      </c>
      <c r="D45" s="1" t="s">
        <v>39</v>
      </c>
      <c r="E45" s="57">
        <f>SUM(E46:E57)</f>
        <v>190.09999999999997</v>
      </c>
      <c r="F45" s="57">
        <f>SUM(F46:F57)</f>
        <v>147.4</v>
      </c>
      <c r="G45" s="4"/>
      <c r="H45" s="4"/>
    </row>
    <row r="46" spans="1:8" ht="12.6" customHeight="1" x14ac:dyDescent="0.2">
      <c r="A46" s="12">
        <v>37</v>
      </c>
      <c r="B46" s="1"/>
      <c r="C46" s="26" t="s">
        <v>3</v>
      </c>
      <c r="D46" s="1"/>
      <c r="E46" s="57">
        <v>60</v>
      </c>
      <c r="F46" s="57">
        <v>21.6</v>
      </c>
      <c r="G46" s="4"/>
      <c r="H46" s="4"/>
    </row>
    <row r="47" spans="1:8" ht="12.6" customHeight="1" x14ac:dyDescent="0.2">
      <c r="A47" s="12">
        <v>38</v>
      </c>
      <c r="B47" s="1"/>
      <c r="C47" s="15" t="s">
        <v>8</v>
      </c>
      <c r="D47" s="1"/>
      <c r="E47" s="19">
        <v>34.6</v>
      </c>
      <c r="F47" s="19">
        <v>33.299999999999997</v>
      </c>
      <c r="G47" s="4"/>
      <c r="H47" s="4"/>
    </row>
    <row r="48" spans="1:8" ht="12.6" customHeight="1" x14ac:dyDescent="0.2">
      <c r="A48" s="12">
        <v>39</v>
      </c>
      <c r="B48" s="1"/>
      <c r="C48" s="15" t="s">
        <v>4</v>
      </c>
      <c r="D48" s="1"/>
      <c r="E48" s="19">
        <v>11.5</v>
      </c>
      <c r="F48" s="19">
        <v>11.1</v>
      </c>
      <c r="G48" s="4"/>
      <c r="H48" s="4"/>
    </row>
    <row r="49" spans="1:8" ht="12.6" customHeight="1" x14ac:dyDescent="0.2">
      <c r="A49" s="12">
        <v>40</v>
      </c>
      <c r="B49" s="1"/>
      <c r="C49" s="15" t="s">
        <v>5</v>
      </c>
      <c r="D49" s="1"/>
      <c r="E49" s="19">
        <v>11.5</v>
      </c>
      <c r="F49" s="19">
        <v>11.1</v>
      </c>
      <c r="G49" s="4"/>
      <c r="H49" s="4"/>
    </row>
    <row r="50" spans="1:8" ht="12.6" customHeight="1" x14ac:dyDescent="0.2">
      <c r="A50" s="12">
        <v>41</v>
      </c>
      <c r="B50" s="1"/>
      <c r="C50" s="15" t="s">
        <v>7</v>
      </c>
      <c r="D50" s="1"/>
      <c r="E50" s="19">
        <v>11.5</v>
      </c>
      <c r="F50" s="19">
        <v>11.1</v>
      </c>
      <c r="G50" s="4"/>
      <c r="H50" s="4"/>
    </row>
    <row r="51" spans="1:8" ht="12.6" customHeight="1" x14ac:dyDescent="0.2">
      <c r="A51" s="12">
        <v>42</v>
      </c>
      <c r="B51" s="1"/>
      <c r="C51" s="15" t="s">
        <v>6</v>
      </c>
      <c r="D51" s="1"/>
      <c r="E51" s="19">
        <v>7.6</v>
      </c>
      <c r="F51" s="19">
        <v>7.4</v>
      </c>
      <c r="G51" s="4"/>
      <c r="H51" s="4"/>
    </row>
    <row r="52" spans="1:8" ht="12.6" customHeight="1" x14ac:dyDescent="0.2">
      <c r="A52" s="12">
        <v>43</v>
      </c>
      <c r="B52" s="1"/>
      <c r="C52" s="15" t="s">
        <v>9</v>
      </c>
      <c r="D52" s="1"/>
      <c r="E52" s="19">
        <v>11.5</v>
      </c>
      <c r="F52" s="19">
        <v>11.1</v>
      </c>
      <c r="G52" s="4"/>
      <c r="H52" s="4"/>
    </row>
    <row r="53" spans="1:8" ht="12.6" customHeight="1" x14ac:dyDescent="0.2">
      <c r="A53" s="12">
        <v>44</v>
      </c>
      <c r="B53" s="1"/>
      <c r="C53" s="16" t="s">
        <v>10</v>
      </c>
      <c r="D53" s="1"/>
      <c r="E53" s="19">
        <v>7.6</v>
      </c>
      <c r="F53" s="19">
        <v>7.4</v>
      </c>
      <c r="G53" s="4"/>
      <c r="H53" s="4"/>
    </row>
    <row r="54" spans="1:8" ht="12.6" customHeight="1" x14ac:dyDescent="0.2">
      <c r="A54" s="12">
        <v>45</v>
      </c>
      <c r="B54" s="1"/>
      <c r="C54" s="15" t="s">
        <v>12</v>
      </c>
      <c r="D54" s="1"/>
      <c r="E54" s="19">
        <v>7.6</v>
      </c>
      <c r="F54" s="19">
        <v>7.4</v>
      </c>
      <c r="G54" s="4"/>
      <c r="H54" s="4"/>
    </row>
    <row r="55" spans="1:8" ht="12.6" customHeight="1" x14ac:dyDescent="0.2">
      <c r="A55" s="12">
        <v>46</v>
      </c>
      <c r="B55" s="1"/>
      <c r="C55" s="15" t="s">
        <v>11</v>
      </c>
      <c r="D55" s="1"/>
      <c r="E55" s="19">
        <v>7.6</v>
      </c>
      <c r="F55" s="19">
        <v>7.4</v>
      </c>
      <c r="G55" s="4"/>
      <c r="H55" s="4"/>
    </row>
    <row r="56" spans="1:8" ht="12.6" customHeight="1" x14ac:dyDescent="0.2">
      <c r="A56" s="12">
        <v>47</v>
      </c>
      <c r="B56" s="1"/>
      <c r="C56" s="15" t="s">
        <v>13</v>
      </c>
      <c r="D56" s="1"/>
      <c r="E56" s="19">
        <v>7.6</v>
      </c>
      <c r="F56" s="19">
        <v>7.4</v>
      </c>
      <c r="G56" s="4"/>
      <c r="H56" s="4"/>
    </row>
    <row r="57" spans="1:8" ht="12.6" customHeight="1" x14ac:dyDescent="0.2">
      <c r="A57" s="12">
        <v>48</v>
      </c>
      <c r="B57" s="1"/>
      <c r="C57" s="15" t="s">
        <v>14</v>
      </c>
      <c r="D57" s="1"/>
      <c r="E57" s="19">
        <v>11.5</v>
      </c>
      <c r="F57" s="19">
        <v>11.1</v>
      </c>
      <c r="G57" s="4"/>
      <c r="H57" s="4"/>
    </row>
    <row r="58" spans="1:8" ht="18" customHeight="1" x14ac:dyDescent="0.2">
      <c r="A58" s="12">
        <v>49</v>
      </c>
      <c r="B58" s="11" t="s">
        <v>32</v>
      </c>
      <c r="C58" s="17" t="s">
        <v>33</v>
      </c>
      <c r="D58" s="1"/>
      <c r="E58" s="29">
        <f>+E59+E71</f>
        <v>614.80000000000007</v>
      </c>
      <c r="F58" s="29">
        <f>+F59+F71</f>
        <v>236.89999999999995</v>
      </c>
      <c r="G58" s="4"/>
      <c r="H58" s="4"/>
    </row>
    <row r="59" spans="1:8" ht="12.6" customHeight="1" x14ac:dyDescent="0.2">
      <c r="A59" s="12">
        <v>50</v>
      </c>
      <c r="B59" s="1" t="s">
        <v>225</v>
      </c>
      <c r="C59" s="67" t="s">
        <v>226</v>
      </c>
      <c r="D59" s="1" t="s">
        <v>227</v>
      </c>
      <c r="E59" s="57">
        <f>SUM(E60:E70)</f>
        <v>254.80000000000007</v>
      </c>
      <c r="F59" s="57">
        <f>SUM(F60:F70)</f>
        <v>236.89999999999995</v>
      </c>
      <c r="G59" s="4"/>
      <c r="H59" s="4"/>
    </row>
    <row r="60" spans="1:8" ht="12.6" customHeight="1" x14ac:dyDescent="0.2">
      <c r="A60" s="12">
        <v>51</v>
      </c>
      <c r="B60" s="1"/>
      <c r="C60" s="26" t="s">
        <v>3</v>
      </c>
      <c r="D60" s="1"/>
      <c r="E60" s="19">
        <v>136.5</v>
      </c>
      <c r="F60" s="19">
        <v>120.3</v>
      </c>
      <c r="G60" s="4"/>
      <c r="H60" s="4"/>
    </row>
    <row r="61" spans="1:8" ht="12.6" customHeight="1" x14ac:dyDescent="0.2">
      <c r="A61" s="12">
        <v>52</v>
      </c>
      <c r="B61" s="1"/>
      <c r="C61" s="15" t="s">
        <v>4</v>
      </c>
      <c r="D61" s="1"/>
      <c r="E61" s="19">
        <v>13.4</v>
      </c>
      <c r="F61" s="19">
        <v>13.2</v>
      </c>
      <c r="G61" s="4"/>
      <c r="H61" s="4"/>
    </row>
    <row r="62" spans="1:8" ht="12.6" customHeight="1" x14ac:dyDescent="0.2">
      <c r="A62" s="12">
        <v>53</v>
      </c>
      <c r="B62" s="1"/>
      <c r="C62" s="15" t="s">
        <v>5</v>
      </c>
      <c r="D62" s="1"/>
      <c r="E62" s="19">
        <v>10</v>
      </c>
      <c r="F62" s="19">
        <v>9.9</v>
      </c>
      <c r="G62" s="4"/>
      <c r="H62" s="4"/>
    </row>
    <row r="63" spans="1:8" ht="12.6" customHeight="1" x14ac:dyDescent="0.2">
      <c r="A63" s="12">
        <v>54</v>
      </c>
      <c r="B63" s="1"/>
      <c r="C63" s="15" t="s">
        <v>7</v>
      </c>
      <c r="D63" s="1"/>
      <c r="E63" s="19">
        <v>5.5</v>
      </c>
      <c r="F63" s="19">
        <v>5.4</v>
      </c>
      <c r="G63" s="4"/>
      <c r="H63" s="4"/>
    </row>
    <row r="64" spans="1:8" ht="12.6" customHeight="1" x14ac:dyDescent="0.2">
      <c r="A64" s="12">
        <v>55</v>
      </c>
      <c r="B64" s="1"/>
      <c r="C64" s="15" t="s">
        <v>6</v>
      </c>
      <c r="D64" s="1"/>
      <c r="E64" s="19">
        <v>17.899999999999999</v>
      </c>
      <c r="F64" s="19">
        <v>17.600000000000001</v>
      </c>
      <c r="G64" s="4"/>
      <c r="H64" s="4"/>
    </row>
    <row r="65" spans="1:8" ht="12.6" customHeight="1" x14ac:dyDescent="0.2">
      <c r="A65" s="12">
        <v>56</v>
      </c>
      <c r="B65" s="1"/>
      <c r="C65" s="15" t="s">
        <v>9</v>
      </c>
      <c r="D65" s="1"/>
      <c r="E65" s="19">
        <v>14.3</v>
      </c>
      <c r="F65" s="19">
        <v>14.1</v>
      </c>
      <c r="G65" s="4"/>
      <c r="H65" s="4"/>
    </row>
    <row r="66" spans="1:8" ht="12.6" customHeight="1" x14ac:dyDescent="0.2">
      <c r="A66" s="12">
        <v>57</v>
      </c>
      <c r="B66" s="1"/>
      <c r="C66" s="16" t="s">
        <v>10</v>
      </c>
      <c r="D66" s="1"/>
      <c r="E66" s="19">
        <v>10.3</v>
      </c>
      <c r="F66" s="19">
        <v>10.199999999999999</v>
      </c>
      <c r="G66" s="4"/>
      <c r="H66" s="4"/>
    </row>
    <row r="67" spans="1:8" ht="12.6" customHeight="1" x14ac:dyDescent="0.2">
      <c r="A67" s="12">
        <v>58</v>
      </c>
      <c r="B67" s="1"/>
      <c r="C67" s="15" t="s">
        <v>12</v>
      </c>
      <c r="D67" s="1"/>
      <c r="E67" s="19">
        <v>9.3000000000000007</v>
      </c>
      <c r="F67" s="19">
        <v>9.1999999999999993</v>
      </c>
      <c r="G67" s="4"/>
      <c r="H67" s="4"/>
    </row>
    <row r="68" spans="1:8" ht="12.6" customHeight="1" x14ac:dyDescent="0.2">
      <c r="A68" s="12">
        <v>59</v>
      </c>
      <c r="B68" s="1"/>
      <c r="C68" s="15" t="s">
        <v>11</v>
      </c>
      <c r="D68" s="1"/>
      <c r="E68" s="19">
        <v>13.4</v>
      </c>
      <c r="F68" s="19">
        <v>13.2</v>
      </c>
      <c r="G68" s="4"/>
      <c r="H68" s="4"/>
    </row>
    <row r="69" spans="1:8" ht="12.6" customHeight="1" x14ac:dyDescent="0.2">
      <c r="A69" s="12">
        <v>60</v>
      </c>
      <c r="B69" s="1"/>
      <c r="C69" s="15" t="s">
        <v>13</v>
      </c>
      <c r="D69" s="1"/>
      <c r="E69" s="19">
        <v>10.8</v>
      </c>
      <c r="F69" s="19">
        <v>10.6</v>
      </c>
      <c r="G69" s="4"/>
      <c r="H69" s="4"/>
    </row>
    <row r="70" spans="1:8" ht="12.6" customHeight="1" x14ac:dyDescent="0.2">
      <c r="A70" s="12">
        <v>61</v>
      </c>
      <c r="B70" s="1"/>
      <c r="C70" s="15" t="s">
        <v>14</v>
      </c>
      <c r="D70" s="1"/>
      <c r="E70" s="19">
        <v>13.4</v>
      </c>
      <c r="F70" s="19">
        <v>13.2</v>
      </c>
      <c r="G70" s="4"/>
      <c r="H70" s="4"/>
    </row>
    <row r="71" spans="1:8" ht="67.5" customHeight="1" x14ac:dyDescent="0.2">
      <c r="A71" s="146">
        <v>62</v>
      </c>
      <c r="B71" s="148" t="s">
        <v>228</v>
      </c>
      <c r="C71" s="116" t="s">
        <v>452</v>
      </c>
      <c r="D71" s="148"/>
      <c r="E71" s="57">
        <f>+E73</f>
        <v>360</v>
      </c>
      <c r="F71" s="57">
        <f>+F73</f>
        <v>0</v>
      </c>
      <c r="G71" s="4"/>
      <c r="H71" s="4"/>
    </row>
    <row r="72" spans="1:8" ht="12.6" customHeight="1" x14ac:dyDescent="0.2">
      <c r="A72" s="147"/>
      <c r="B72" s="149"/>
      <c r="C72" s="116" t="s">
        <v>229</v>
      </c>
      <c r="D72" s="149"/>
      <c r="E72" s="57">
        <v>9</v>
      </c>
      <c r="F72" s="57"/>
      <c r="G72" s="4"/>
      <c r="H72" s="4"/>
    </row>
    <row r="73" spans="1:8" ht="12.6" customHeight="1" x14ac:dyDescent="0.2">
      <c r="A73" s="12">
        <v>63</v>
      </c>
      <c r="B73" s="1"/>
      <c r="C73" s="26" t="s">
        <v>3</v>
      </c>
      <c r="D73" s="1" t="s">
        <v>230</v>
      </c>
      <c r="E73" s="19">
        <v>360</v>
      </c>
      <c r="F73" s="19"/>
      <c r="G73" s="4"/>
      <c r="H73" s="4"/>
    </row>
    <row r="74" spans="1:8" ht="18" customHeight="1" x14ac:dyDescent="0.2">
      <c r="A74" s="12">
        <v>64</v>
      </c>
      <c r="B74" s="11" t="s">
        <v>25</v>
      </c>
      <c r="C74" s="17" t="s">
        <v>26</v>
      </c>
      <c r="D74" s="1"/>
      <c r="E74" s="29">
        <f>SUM(E75+E77+E79+E81+E83+E85+E87+E89+E91+E93+E95+E97+E99)</f>
        <v>1496.2</v>
      </c>
      <c r="F74" s="29">
        <f>SUM(F75+F77+F79+F81+F83+F85+F87+F89+F91+F93+F95+F97+F99)</f>
        <v>1349.6000000000004</v>
      </c>
      <c r="G74" s="4"/>
      <c r="H74" s="4"/>
    </row>
    <row r="75" spans="1:8" ht="12.6" customHeight="1" x14ac:dyDescent="0.2">
      <c r="A75" s="12">
        <v>65</v>
      </c>
      <c r="B75" s="1" t="s">
        <v>34</v>
      </c>
      <c r="C75" s="67" t="s">
        <v>232</v>
      </c>
      <c r="D75" s="1" t="s">
        <v>28</v>
      </c>
      <c r="E75" s="57">
        <f>+E76</f>
        <v>1234.5999999999999</v>
      </c>
      <c r="F75" s="57">
        <f>+F76</f>
        <v>1145.7</v>
      </c>
      <c r="G75" s="4"/>
      <c r="H75" s="4"/>
    </row>
    <row r="76" spans="1:8" ht="12.6" customHeight="1" x14ac:dyDescent="0.2">
      <c r="A76" s="12">
        <v>66</v>
      </c>
      <c r="B76" s="121"/>
      <c r="C76" s="15" t="s">
        <v>27</v>
      </c>
      <c r="D76" s="18"/>
      <c r="E76" s="19">
        <v>1234.5999999999999</v>
      </c>
      <c r="F76" s="19">
        <v>1145.7</v>
      </c>
      <c r="G76" s="4"/>
      <c r="H76" s="4"/>
    </row>
    <row r="77" spans="1:8" ht="12.6" customHeight="1" x14ac:dyDescent="0.2">
      <c r="A77" s="12">
        <v>67</v>
      </c>
      <c r="B77" s="1" t="s">
        <v>35</v>
      </c>
      <c r="C77" s="116" t="s">
        <v>233</v>
      </c>
      <c r="D77" s="1" t="s">
        <v>234</v>
      </c>
      <c r="E77" s="57">
        <f>SUM(E78:E78)</f>
        <v>0.8</v>
      </c>
      <c r="F77" s="57">
        <f>SUM(F78:F78)</f>
        <v>0.8</v>
      </c>
      <c r="G77" s="4"/>
      <c r="H77" s="4"/>
    </row>
    <row r="78" spans="1:8" ht="12.6" customHeight="1" x14ac:dyDescent="0.2">
      <c r="A78" s="12">
        <v>68</v>
      </c>
      <c r="B78" s="1"/>
      <c r="C78" s="26" t="s">
        <v>3</v>
      </c>
      <c r="D78" s="1"/>
      <c r="E78" s="19">
        <v>0.8</v>
      </c>
      <c r="F78" s="19">
        <v>0.8</v>
      </c>
      <c r="G78" s="4"/>
      <c r="H78" s="4"/>
    </row>
    <row r="79" spans="1:8" ht="12.6" customHeight="1" x14ac:dyDescent="0.2">
      <c r="A79" s="12">
        <v>69</v>
      </c>
      <c r="B79" s="14" t="s">
        <v>36</v>
      </c>
      <c r="C79" s="116" t="s">
        <v>235</v>
      </c>
      <c r="D79" s="1" t="s">
        <v>234</v>
      </c>
      <c r="E79" s="137">
        <f>+E80</f>
        <v>47.9</v>
      </c>
      <c r="F79" s="137">
        <f>+F80</f>
        <v>42</v>
      </c>
      <c r="G79" s="4"/>
      <c r="H79" s="4"/>
    </row>
    <row r="80" spans="1:8" ht="12.6" customHeight="1" x14ac:dyDescent="0.2">
      <c r="A80" s="12">
        <v>70</v>
      </c>
      <c r="B80" s="1"/>
      <c r="C80" s="26" t="s">
        <v>3</v>
      </c>
      <c r="D80" s="1"/>
      <c r="E80" s="19">
        <v>47.9</v>
      </c>
      <c r="F80" s="19">
        <v>42</v>
      </c>
      <c r="G80" s="4"/>
      <c r="H80" s="4"/>
    </row>
    <row r="81" spans="1:8" ht="12.6" customHeight="1" x14ac:dyDescent="0.2">
      <c r="A81" s="12">
        <v>71</v>
      </c>
      <c r="B81" s="1" t="s">
        <v>37</v>
      </c>
      <c r="C81" s="116" t="s">
        <v>236</v>
      </c>
      <c r="D81" s="1" t="s">
        <v>38</v>
      </c>
      <c r="E81" s="137">
        <f>+E82</f>
        <v>35.5</v>
      </c>
      <c r="F81" s="137">
        <f>+F82</f>
        <v>34.1</v>
      </c>
      <c r="G81" s="4"/>
      <c r="H81" s="4"/>
    </row>
    <row r="82" spans="1:8" ht="12.6" customHeight="1" x14ac:dyDescent="0.2">
      <c r="A82" s="12">
        <v>72</v>
      </c>
      <c r="B82" s="1"/>
      <c r="C82" s="26" t="s">
        <v>3</v>
      </c>
      <c r="D82" s="1"/>
      <c r="E82" s="19">
        <v>35.5</v>
      </c>
      <c r="F82" s="19">
        <v>34.1</v>
      </c>
      <c r="G82" s="4"/>
      <c r="H82" s="4"/>
    </row>
    <row r="83" spans="1:8" ht="12.6" customHeight="1" x14ac:dyDescent="0.2">
      <c r="A83" s="12">
        <v>73</v>
      </c>
      <c r="B83" s="1" t="s">
        <v>184</v>
      </c>
      <c r="C83" s="116" t="s">
        <v>237</v>
      </c>
      <c r="D83" s="14" t="s">
        <v>238</v>
      </c>
      <c r="E83" s="137">
        <f>+E84</f>
        <v>57.8</v>
      </c>
      <c r="F83" s="137">
        <f>+F84</f>
        <v>21.7</v>
      </c>
      <c r="G83" s="4"/>
      <c r="H83" s="4"/>
    </row>
    <row r="84" spans="1:8" ht="12.6" customHeight="1" x14ac:dyDescent="0.2">
      <c r="A84" s="12">
        <v>74</v>
      </c>
      <c r="B84" s="1"/>
      <c r="C84" s="26" t="s">
        <v>3</v>
      </c>
      <c r="D84" s="1"/>
      <c r="E84" s="28">
        <v>57.8</v>
      </c>
      <c r="F84" s="28">
        <v>21.7</v>
      </c>
      <c r="G84" s="4"/>
      <c r="H84" s="4"/>
    </row>
    <row r="85" spans="1:8" ht="12.6" customHeight="1" x14ac:dyDescent="0.2">
      <c r="A85" s="12">
        <v>75</v>
      </c>
      <c r="B85" s="1" t="s">
        <v>239</v>
      </c>
      <c r="C85" s="67" t="s">
        <v>240</v>
      </c>
      <c r="D85" s="1" t="s">
        <v>38</v>
      </c>
      <c r="E85" s="137">
        <f>+E86</f>
        <v>9</v>
      </c>
      <c r="F85" s="137">
        <f>+F86</f>
        <v>8.9</v>
      </c>
      <c r="G85" s="4"/>
      <c r="H85" s="4"/>
    </row>
    <row r="86" spans="1:8" ht="12.6" customHeight="1" x14ac:dyDescent="0.2">
      <c r="A86" s="12">
        <v>76</v>
      </c>
      <c r="B86" s="1"/>
      <c r="C86" s="26" t="s">
        <v>3</v>
      </c>
      <c r="D86" s="1"/>
      <c r="E86" s="19">
        <v>9</v>
      </c>
      <c r="F86" s="19">
        <v>8.9</v>
      </c>
      <c r="G86" s="4"/>
      <c r="H86" s="4"/>
    </row>
    <row r="87" spans="1:8" ht="12.6" customHeight="1" x14ac:dyDescent="0.2">
      <c r="A87" s="12">
        <v>77</v>
      </c>
      <c r="B87" s="1" t="s">
        <v>241</v>
      </c>
      <c r="C87" s="116" t="s">
        <v>242</v>
      </c>
      <c r="D87" s="14" t="s">
        <v>243</v>
      </c>
      <c r="E87" s="57">
        <f>+E88</f>
        <v>32.6</v>
      </c>
      <c r="F87" s="57">
        <f>+F88</f>
        <v>28.7</v>
      </c>
      <c r="G87" s="4"/>
      <c r="H87" s="4"/>
    </row>
    <row r="88" spans="1:8" ht="12.6" customHeight="1" x14ac:dyDescent="0.2">
      <c r="A88" s="12">
        <v>78</v>
      </c>
      <c r="B88" s="1"/>
      <c r="C88" s="26" t="s">
        <v>3</v>
      </c>
      <c r="D88" s="1"/>
      <c r="E88" s="19">
        <v>32.6</v>
      </c>
      <c r="F88" s="19">
        <v>28.7</v>
      </c>
      <c r="G88" s="4"/>
      <c r="H88" s="4"/>
    </row>
    <row r="89" spans="1:8" ht="12.6" customHeight="1" x14ac:dyDescent="0.2">
      <c r="A89" s="12">
        <v>79</v>
      </c>
      <c r="B89" s="1" t="s">
        <v>396</v>
      </c>
      <c r="C89" s="67" t="s">
        <v>245</v>
      </c>
      <c r="D89" s="1" t="s">
        <v>38</v>
      </c>
      <c r="E89" s="57">
        <f>+E90</f>
        <v>19.5</v>
      </c>
      <c r="F89" s="57">
        <f>+F90</f>
        <v>19.2</v>
      </c>
      <c r="G89" s="4"/>
      <c r="H89" s="4"/>
    </row>
    <row r="90" spans="1:8" ht="12.6" customHeight="1" x14ac:dyDescent="0.2">
      <c r="A90" s="12">
        <v>80</v>
      </c>
      <c r="B90" s="1"/>
      <c r="C90" s="26" t="s">
        <v>3</v>
      </c>
      <c r="D90" s="1"/>
      <c r="E90" s="19">
        <v>19.5</v>
      </c>
      <c r="F90" s="19">
        <v>19.2</v>
      </c>
      <c r="G90" s="4"/>
      <c r="H90" s="4"/>
    </row>
    <row r="91" spans="1:8" ht="12.6" customHeight="1" x14ac:dyDescent="0.2">
      <c r="A91" s="12">
        <v>81</v>
      </c>
      <c r="B91" s="1" t="s">
        <v>244</v>
      </c>
      <c r="C91" s="116" t="s">
        <v>247</v>
      </c>
      <c r="D91" s="1" t="s">
        <v>38</v>
      </c>
      <c r="E91" s="57">
        <f>+E92</f>
        <v>12.2</v>
      </c>
      <c r="F91" s="57">
        <f>+F92</f>
        <v>11.5</v>
      </c>
      <c r="G91" s="4"/>
      <c r="H91" s="4"/>
    </row>
    <row r="92" spans="1:8" ht="12.6" customHeight="1" x14ac:dyDescent="0.2">
      <c r="A92" s="12">
        <v>82</v>
      </c>
      <c r="B92" s="1"/>
      <c r="C92" s="26" t="s">
        <v>3</v>
      </c>
      <c r="D92" s="1"/>
      <c r="E92" s="19">
        <v>12.2</v>
      </c>
      <c r="F92" s="19">
        <v>11.5</v>
      </c>
      <c r="G92" s="4"/>
      <c r="H92" s="4"/>
    </row>
    <row r="93" spans="1:8" ht="12.6" customHeight="1" x14ac:dyDescent="0.2">
      <c r="A93" s="12">
        <v>83</v>
      </c>
      <c r="B93" s="1" t="s">
        <v>246</v>
      </c>
      <c r="C93" s="67" t="s">
        <v>538</v>
      </c>
      <c r="D93" s="1" t="s">
        <v>234</v>
      </c>
      <c r="E93" s="57">
        <f>+E94</f>
        <v>1.2</v>
      </c>
      <c r="F93" s="57">
        <f>+F94</f>
        <v>1.2</v>
      </c>
      <c r="G93" s="4"/>
      <c r="H93" s="4"/>
    </row>
    <row r="94" spans="1:8" ht="12.6" customHeight="1" x14ac:dyDescent="0.2">
      <c r="A94" s="12">
        <v>84</v>
      </c>
      <c r="B94" s="1"/>
      <c r="C94" s="26" t="s">
        <v>3</v>
      </c>
      <c r="D94" s="1"/>
      <c r="E94" s="19">
        <v>1.2</v>
      </c>
      <c r="F94" s="19">
        <v>1.2</v>
      </c>
      <c r="G94" s="4"/>
      <c r="H94" s="4"/>
    </row>
    <row r="95" spans="1:8" ht="12.6" customHeight="1" x14ac:dyDescent="0.2">
      <c r="A95" s="12">
        <v>85</v>
      </c>
      <c r="B95" s="1" t="s">
        <v>248</v>
      </c>
      <c r="C95" s="67" t="s">
        <v>250</v>
      </c>
      <c r="D95" s="1" t="s">
        <v>38</v>
      </c>
      <c r="E95" s="57">
        <f>SUM(E96:E96)</f>
        <v>5</v>
      </c>
      <c r="F95" s="57">
        <f>SUM(F96:F96)</f>
        <v>4.9000000000000004</v>
      </c>
      <c r="G95" s="4"/>
      <c r="H95" s="4"/>
    </row>
    <row r="96" spans="1:8" ht="12.6" customHeight="1" x14ac:dyDescent="0.2">
      <c r="A96" s="12">
        <v>86</v>
      </c>
      <c r="B96" s="44"/>
      <c r="C96" s="15" t="s">
        <v>8</v>
      </c>
      <c r="D96" s="44"/>
      <c r="E96" s="19">
        <v>5</v>
      </c>
      <c r="F96" s="19">
        <v>4.9000000000000004</v>
      </c>
      <c r="G96" s="4"/>
      <c r="H96" s="4"/>
    </row>
    <row r="97" spans="1:8" ht="38.25" x14ac:dyDescent="0.2">
      <c r="A97" s="12">
        <v>87</v>
      </c>
      <c r="B97" s="1" t="s">
        <v>249</v>
      </c>
      <c r="C97" s="64" t="s">
        <v>273</v>
      </c>
      <c r="D97" s="139" t="s">
        <v>272</v>
      </c>
      <c r="E97" s="19">
        <f>+E98</f>
        <v>20.2</v>
      </c>
      <c r="F97" s="19">
        <f>+F98</f>
        <v>19.899999999999999</v>
      </c>
      <c r="G97" s="4"/>
      <c r="H97" s="4"/>
    </row>
    <row r="98" spans="1:8" ht="12.6" customHeight="1" x14ac:dyDescent="0.2">
      <c r="A98" s="12">
        <v>88</v>
      </c>
      <c r="B98" s="1"/>
      <c r="C98" s="52" t="s">
        <v>3</v>
      </c>
      <c r="D98" s="139"/>
      <c r="E98" s="19">
        <v>20.2</v>
      </c>
      <c r="F98" s="19">
        <v>19.899999999999999</v>
      </c>
      <c r="G98" s="4"/>
      <c r="H98" s="4"/>
    </row>
    <row r="99" spans="1:8" ht="12.6" customHeight="1" x14ac:dyDescent="0.2">
      <c r="A99" s="12">
        <v>89</v>
      </c>
      <c r="B99" s="1" t="s">
        <v>618</v>
      </c>
      <c r="C99" s="64" t="s">
        <v>231</v>
      </c>
      <c r="D99" s="1" t="s">
        <v>38</v>
      </c>
      <c r="E99" s="19">
        <f>+E100</f>
        <v>19.899999999999999</v>
      </c>
      <c r="F99" s="19">
        <f>+F100</f>
        <v>11</v>
      </c>
      <c r="G99" s="4"/>
      <c r="H99" s="4"/>
    </row>
    <row r="100" spans="1:8" ht="12.6" customHeight="1" x14ac:dyDescent="0.2">
      <c r="A100" s="12">
        <v>90</v>
      </c>
      <c r="B100" s="1"/>
      <c r="C100" s="15" t="s">
        <v>3</v>
      </c>
      <c r="D100" s="1"/>
      <c r="E100" s="19">
        <v>19.899999999999999</v>
      </c>
      <c r="F100" s="19">
        <v>11</v>
      </c>
      <c r="G100" s="4"/>
      <c r="H100" s="4"/>
    </row>
    <row r="101" spans="1:8" ht="12.6" customHeight="1" x14ac:dyDescent="0.2">
      <c r="A101" s="12">
        <v>91</v>
      </c>
      <c r="B101" s="1"/>
      <c r="C101" s="140" t="s">
        <v>20</v>
      </c>
      <c r="D101" s="11"/>
      <c r="E101" s="29">
        <f>+E10+E17+E58+E74</f>
        <v>5824.9999999999991</v>
      </c>
      <c r="F101" s="29">
        <f>+F10+F17+F58+F74</f>
        <v>3483.3000000000006</v>
      </c>
      <c r="G101" s="4"/>
      <c r="H101" s="4"/>
    </row>
    <row r="102" spans="1:8" ht="10.5" customHeight="1" x14ac:dyDescent="0.2">
      <c r="E102" s="20"/>
      <c r="F102" s="20"/>
    </row>
    <row r="103" spans="1:8" x14ac:dyDescent="0.2">
      <c r="C103" s="3" t="s">
        <v>251</v>
      </c>
      <c r="D103" s="130"/>
      <c r="E103" s="20"/>
      <c r="F103" s="20"/>
    </row>
    <row r="104" spans="1:8" x14ac:dyDescent="0.2">
      <c r="E104" s="31"/>
      <c r="F104" s="31"/>
    </row>
    <row r="105" spans="1:8" x14ac:dyDescent="0.2">
      <c r="E105" s="20"/>
      <c r="F105" s="20"/>
    </row>
    <row r="106" spans="1:8" x14ac:dyDescent="0.2">
      <c r="E106" s="20"/>
      <c r="F106" s="20"/>
    </row>
    <row r="108" spans="1:8" x14ac:dyDescent="0.2">
      <c r="C108" s="141"/>
    </row>
    <row r="109" spans="1:8" x14ac:dyDescent="0.2">
      <c r="C109" s="141"/>
    </row>
    <row r="110" spans="1:8" x14ac:dyDescent="0.2">
      <c r="C110" s="5"/>
    </row>
  </sheetData>
  <mergeCells count="7">
    <mergeCell ref="A71:A72"/>
    <mergeCell ref="B71:B72"/>
    <mergeCell ref="D71:D72"/>
    <mergeCell ref="C1:F1"/>
    <mergeCell ref="C2:F2"/>
    <mergeCell ref="E3:F3"/>
    <mergeCell ref="A5:F5"/>
  </mergeCells>
  <pageMargins left="0.70866141732283472" right="0" top="0.59055118110236227" bottom="0.19685039370078741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32"/>
  <sheetViews>
    <sheetView tabSelected="1" zoomScaleNormal="100" workbookViewId="0">
      <selection activeCell="L11" sqref="L11"/>
    </sheetView>
  </sheetViews>
  <sheetFormatPr defaultColWidth="9.140625" defaultRowHeight="12.75" x14ac:dyDescent="0.2"/>
  <cols>
    <col min="1" max="1" width="4.7109375" style="168" customWidth="1"/>
    <col min="2" max="2" width="7" style="169" customWidth="1"/>
    <col min="3" max="3" width="48.140625" style="175" customWidth="1"/>
    <col min="4" max="4" width="10.5703125" style="176" customWidth="1"/>
    <col min="5" max="5" width="10.42578125" style="237" customWidth="1"/>
    <col min="6" max="6" width="11.28515625" style="237" customWidth="1"/>
    <col min="7" max="8" width="9.140625" style="171"/>
    <col min="9" max="16384" width="9.140625" style="172"/>
  </cols>
  <sheetData>
    <row r="1" spans="1:8" ht="15.75" x14ac:dyDescent="0.25">
      <c r="C1" s="170" t="s">
        <v>331</v>
      </c>
      <c r="D1" s="170"/>
      <c r="E1" s="170"/>
      <c r="F1" s="170"/>
    </row>
    <row r="2" spans="1:8" ht="15" customHeight="1" x14ac:dyDescent="0.25">
      <c r="C2" s="170" t="s">
        <v>793</v>
      </c>
      <c r="D2" s="170"/>
      <c r="E2" s="170"/>
      <c r="F2" s="170"/>
    </row>
    <row r="3" spans="1:8" ht="15.75" x14ac:dyDescent="0.25">
      <c r="C3" s="173"/>
      <c r="D3" s="173"/>
      <c r="E3" s="174" t="s">
        <v>330</v>
      </c>
      <c r="F3" s="174"/>
    </row>
    <row r="4" spans="1:8" ht="15.75" x14ac:dyDescent="0.2">
      <c r="E4" s="177"/>
      <c r="F4" s="177"/>
    </row>
    <row r="5" spans="1:8" ht="35.25" customHeight="1" x14ac:dyDescent="0.2">
      <c r="A5" s="178" t="s">
        <v>409</v>
      </c>
      <c r="B5" s="178"/>
      <c r="C5" s="178"/>
      <c r="D5" s="178"/>
      <c r="E5" s="178"/>
      <c r="F5" s="178"/>
    </row>
    <row r="6" spans="1:8" x14ac:dyDescent="0.2">
      <c r="A6" s="179"/>
      <c r="B6" s="179"/>
      <c r="C6" s="179"/>
      <c r="D6" s="179"/>
      <c r="E6" s="179"/>
      <c r="F6" s="179"/>
    </row>
    <row r="7" spans="1:8" x14ac:dyDescent="0.2">
      <c r="A7" s="180"/>
      <c r="B7" s="181"/>
      <c r="C7" s="182"/>
      <c r="D7" s="183"/>
      <c r="E7" s="184"/>
      <c r="F7" s="185" t="s">
        <v>129</v>
      </c>
    </row>
    <row r="8" spans="1:8" ht="38.25" x14ac:dyDescent="0.2">
      <c r="A8" s="186" t="s">
        <v>118</v>
      </c>
      <c r="B8" s="187" t="s">
        <v>329</v>
      </c>
      <c r="C8" s="186" t="s">
        <v>16</v>
      </c>
      <c r="D8" s="187" t="s">
        <v>55</v>
      </c>
      <c r="E8" s="186" t="s">
        <v>17</v>
      </c>
      <c r="F8" s="186" t="s">
        <v>29</v>
      </c>
    </row>
    <row r="9" spans="1:8" s="191" customFormat="1" ht="12.75" customHeight="1" x14ac:dyDescent="0.2">
      <c r="A9" s="188">
        <v>1</v>
      </c>
      <c r="B9" s="189" t="s">
        <v>18</v>
      </c>
      <c r="C9" s="186">
        <v>3</v>
      </c>
      <c r="D9" s="187">
        <v>4</v>
      </c>
      <c r="E9" s="186">
        <v>5</v>
      </c>
      <c r="F9" s="186">
        <v>6</v>
      </c>
      <c r="G9" s="190"/>
      <c r="H9" s="190"/>
    </row>
    <row r="10" spans="1:8" s="191" customFormat="1" ht="12.75" customHeight="1" x14ac:dyDescent="0.2">
      <c r="A10" s="192">
        <v>1</v>
      </c>
      <c r="B10" s="189" t="s">
        <v>56</v>
      </c>
      <c r="C10" s="193" t="s">
        <v>57</v>
      </c>
      <c r="D10" s="186"/>
      <c r="E10" s="194">
        <f>+E11+E14+E17+E20+E38</f>
        <v>1028.4000000000001</v>
      </c>
      <c r="F10" s="194">
        <f>+F11+F14+F17+F20+F38</f>
        <v>21.900000000000002</v>
      </c>
      <c r="G10" s="190"/>
      <c r="H10" s="190"/>
    </row>
    <row r="11" spans="1:8" s="191" customFormat="1" ht="12.75" customHeight="1" x14ac:dyDescent="0.2">
      <c r="A11" s="192">
        <v>2</v>
      </c>
      <c r="B11" s="195" t="s">
        <v>269</v>
      </c>
      <c r="C11" s="196" t="s">
        <v>613</v>
      </c>
      <c r="D11" s="197"/>
      <c r="E11" s="198">
        <f>+E12+E13</f>
        <v>261.60000000000002</v>
      </c>
      <c r="F11" s="198">
        <f>+F12+F13</f>
        <v>0</v>
      </c>
      <c r="G11" s="190"/>
      <c r="H11" s="171"/>
    </row>
    <row r="12" spans="1:8" s="191" customFormat="1" ht="12.75" customHeight="1" x14ac:dyDescent="0.2">
      <c r="A12" s="192">
        <v>3</v>
      </c>
      <c r="B12" s="199"/>
      <c r="C12" s="200" t="s">
        <v>204</v>
      </c>
      <c r="D12" s="195" t="s">
        <v>614</v>
      </c>
      <c r="E12" s="201">
        <f>253.8+7.8</f>
        <v>261.60000000000002</v>
      </c>
      <c r="F12" s="201"/>
      <c r="G12" s="190"/>
      <c r="H12" s="190"/>
    </row>
    <row r="13" spans="1:8" s="191" customFormat="1" ht="12.75" customHeight="1" x14ac:dyDescent="0.2">
      <c r="A13" s="192">
        <v>4</v>
      </c>
      <c r="B13" s="199"/>
      <c r="C13" s="202" t="s">
        <v>615</v>
      </c>
      <c r="D13" s="195" t="s">
        <v>616</v>
      </c>
      <c r="E13" s="201">
        <f>7.8-7.8</f>
        <v>0</v>
      </c>
      <c r="F13" s="201">
        <f>7.7-7.7</f>
        <v>0</v>
      </c>
      <c r="G13" s="190"/>
      <c r="H13" s="190"/>
    </row>
    <row r="14" spans="1:8" s="191" customFormat="1" ht="12.75" customHeight="1" x14ac:dyDescent="0.2">
      <c r="A14" s="192">
        <v>5</v>
      </c>
      <c r="B14" s="199" t="s">
        <v>270</v>
      </c>
      <c r="C14" s="196" t="s">
        <v>705</v>
      </c>
      <c r="D14" s="197"/>
      <c r="E14" s="198">
        <f>+E15</f>
        <v>484</v>
      </c>
      <c r="F14" s="198">
        <f>+F15</f>
        <v>0</v>
      </c>
      <c r="G14" s="190"/>
      <c r="H14" s="190"/>
    </row>
    <row r="15" spans="1:8" s="191" customFormat="1" ht="12.75" customHeight="1" x14ac:dyDescent="0.2">
      <c r="A15" s="192">
        <v>6</v>
      </c>
      <c r="B15" s="199"/>
      <c r="C15" s="203" t="s">
        <v>615</v>
      </c>
      <c r="D15" s="199"/>
      <c r="E15" s="201">
        <f>+E16</f>
        <v>484</v>
      </c>
      <c r="F15" s="201">
        <f>+F16</f>
        <v>0</v>
      </c>
      <c r="G15" s="190"/>
      <c r="H15" s="190"/>
    </row>
    <row r="16" spans="1:8" s="191" customFormat="1" ht="27" customHeight="1" x14ac:dyDescent="0.2">
      <c r="A16" s="192">
        <v>7</v>
      </c>
      <c r="B16" s="199"/>
      <c r="C16" s="200" t="s">
        <v>703</v>
      </c>
      <c r="D16" s="199" t="s">
        <v>60</v>
      </c>
      <c r="E16" s="201">
        <v>484</v>
      </c>
      <c r="F16" s="201"/>
      <c r="G16" s="190"/>
      <c r="H16" s="190"/>
    </row>
    <row r="17" spans="1:8" s="191" customFormat="1" ht="27" customHeight="1" x14ac:dyDescent="0.2">
      <c r="A17" s="192">
        <v>8</v>
      </c>
      <c r="B17" s="199" t="s">
        <v>722</v>
      </c>
      <c r="C17" s="196" t="s">
        <v>725</v>
      </c>
      <c r="D17" s="199"/>
      <c r="E17" s="198">
        <f>+E18</f>
        <v>232</v>
      </c>
      <c r="F17" s="198">
        <f>+F18</f>
        <v>0</v>
      </c>
      <c r="G17" s="190"/>
      <c r="H17" s="190"/>
    </row>
    <row r="18" spans="1:8" s="191" customFormat="1" ht="14.25" customHeight="1" x14ac:dyDescent="0.2">
      <c r="A18" s="192">
        <v>9</v>
      </c>
      <c r="B18" s="199"/>
      <c r="C18" s="203" t="s">
        <v>615</v>
      </c>
      <c r="D18" s="199"/>
      <c r="E18" s="201">
        <f>+E19</f>
        <v>232</v>
      </c>
      <c r="F18" s="201">
        <f>+F19</f>
        <v>0</v>
      </c>
      <c r="G18" s="190"/>
      <c r="H18" s="190"/>
    </row>
    <row r="19" spans="1:8" s="191" customFormat="1" ht="27" customHeight="1" x14ac:dyDescent="0.2">
      <c r="A19" s="192">
        <v>10</v>
      </c>
      <c r="B19" s="199"/>
      <c r="C19" s="200" t="s">
        <v>724</v>
      </c>
      <c r="D19" s="199" t="s">
        <v>207</v>
      </c>
      <c r="E19" s="201">
        <v>232</v>
      </c>
      <c r="F19" s="201"/>
      <c r="G19" s="190"/>
      <c r="H19" s="190"/>
    </row>
    <row r="20" spans="1:8" s="191" customFormat="1" ht="38.25" x14ac:dyDescent="0.2">
      <c r="A20" s="192">
        <v>11</v>
      </c>
      <c r="B20" s="199" t="s">
        <v>727</v>
      </c>
      <c r="C20" s="204" t="s">
        <v>721</v>
      </c>
      <c r="D20" s="199"/>
      <c r="E20" s="198">
        <f>SUM(E21:E37)</f>
        <v>37.200000000000003</v>
      </c>
      <c r="F20" s="198">
        <f>SUM(F21:F37)</f>
        <v>21.900000000000002</v>
      </c>
      <c r="G20" s="190"/>
      <c r="H20" s="190"/>
    </row>
    <row r="21" spans="1:8" s="191" customFormat="1" ht="12.75" customHeight="1" x14ac:dyDescent="0.2">
      <c r="A21" s="192">
        <v>12</v>
      </c>
      <c r="B21" s="199"/>
      <c r="C21" s="205" t="s">
        <v>166</v>
      </c>
      <c r="D21" s="199" t="s">
        <v>58</v>
      </c>
      <c r="E21" s="201">
        <f>1.9+1.8</f>
        <v>3.7</v>
      </c>
      <c r="F21" s="201">
        <f>0.3+0.2</f>
        <v>0.5</v>
      </c>
      <c r="G21" s="190"/>
      <c r="H21" s="190"/>
    </row>
    <row r="22" spans="1:8" s="191" customFormat="1" ht="12.75" customHeight="1" x14ac:dyDescent="0.2">
      <c r="A22" s="192">
        <v>13</v>
      </c>
      <c r="B22" s="199"/>
      <c r="C22" s="205" t="s">
        <v>157</v>
      </c>
      <c r="D22" s="199" t="s">
        <v>58</v>
      </c>
      <c r="E22" s="201">
        <f>0.7+0.7</f>
        <v>1.4</v>
      </c>
      <c r="F22" s="201">
        <f>0.1+0.1</f>
        <v>0.2</v>
      </c>
      <c r="G22" s="190"/>
      <c r="H22" s="190"/>
    </row>
    <row r="23" spans="1:8" s="191" customFormat="1" ht="12.75" customHeight="1" x14ac:dyDescent="0.2">
      <c r="A23" s="192">
        <v>14</v>
      </c>
      <c r="B23" s="199"/>
      <c r="C23" s="205" t="s">
        <v>158</v>
      </c>
      <c r="D23" s="199" t="s">
        <v>58</v>
      </c>
      <c r="E23" s="201">
        <f>0.7+0.5</f>
        <v>1.2</v>
      </c>
      <c r="F23" s="201">
        <f>0.1+0.1</f>
        <v>0.2</v>
      </c>
      <c r="G23" s="190"/>
      <c r="H23" s="190"/>
    </row>
    <row r="24" spans="1:8" s="191" customFormat="1" ht="12.75" customHeight="1" x14ac:dyDescent="0.2">
      <c r="A24" s="192">
        <v>15</v>
      </c>
      <c r="B24" s="199"/>
      <c r="C24" s="205" t="s">
        <v>159</v>
      </c>
      <c r="D24" s="199" t="s">
        <v>58</v>
      </c>
      <c r="E24" s="201">
        <f>1+1</f>
        <v>2</v>
      </c>
      <c r="F24" s="201">
        <f>0.4+0.4</f>
        <v>0.8</v>
      </c>
      <c r="G24" s="190"/>
      <c r="H24" s="190"/>
    </row>
    <row r="25" spans="1:8" s="191" customFormat="1" ht="12.75" customHeight="1" x14ac:dyDescent="0.2">
      <c r="A25" s="192">
        <v>16</v>
      </c>
      <c r="B25" s="199"/>
      <c r="C25" s="205" t="s">
        <v>160</v>
      </c>
      <c r="D25" s="199" t="s">
        <v>58</v>
      </c>
      <c r="E25" s="201">
        <f>2.6+2.6</f>
        <v>5.2</v>
      </c>
      <c r="F25" s="201">
        <f>1.4+1.3</f>
        <v>2.7</v>
      </c>
      <c r="G25" s="190"/>
      <c r="H25" s="190"/>
    </row>
    <row r="26" spans="1:8" s="191" customFormat="1" ht="12.75" customHeight="1" x14ac:dyDescent="0.2">
      <c r="A26" s="192">
        <v>17</v>
      </c>
      <c r="B26" s="199"/>
      <c r="C26" s="205" t="s">
        <v>161</v>
      </c>
      <c r="D26" s="199" t="s">
        <v>58</v>
      </c>
      <c r="E26" s="201">
        <f>0.7+1.2</f>
        <v>1.9</v>
      </c>
      <c r="F26" s="201">
        <f>0.1+0.4</f>
        <v>0.5</v>
      </c>
      <c r="G26" s="190"/>
      <c r="H26" s="190"/>
    </row>
    <row r="27" spans="1:8" s="191" customFormat="1" ht="12.75" customHeight="1" x14ac:dyDescent="0.2">
      <c r="A27" s="192">
        <v>18</v>
      </c>
      <c r="B27" s="199"/>
      <c r="C27" s="205" t="s">
        <v>165</v>
      </c>
      <c r="D27" s="206" t="s">
        <v>60</v>
      </c>
      <c r="E27" s="201">
        <f>0.6+1.3</f>
        <v>1.9</v>
      </c>
      <c r="F27" s="201">
        <f>0.6+1.2</f>
        <v>1.7999999999999998</v>
      </c>
      <c r="G27" s="190"/>
      <c r="H27" s="190"/>
    </row>
    <row r="28" spans="1:8" s="191" customFormat="1" ht="12.75" customHeight="1" x14ac:dyDescent="0.2">
      <c r="A28" s="192">
        <v>19</v>
      </c>
      <c r="B28" s="199"/>
      <c r="C28" s="207" t="s">
        <v>134</v>
      </c>
      <c r="D28" s="206" t="s">
        <v>60</v>
      </c>
      <c r="E28" s="201">
        <f>0.6+0.2</f>
        <v>0.8</v>
      </c>
      <c r="F28" s="201">
        <f>0.3+0.1</f>
        <v>0.4</v>
      </c>
      <c r="G28" s="190"/>
      <c r="H28" s="190"/>
    </row>
    <row r="29" spans="1:8" s="191" customFormat="1" ht="12.75" customHeight="1" x14ac:dyDescent="0.2">
      <c r="A29" s="192">
        <v>20</v>
      </c>
      <c r="B29" s="199"/>
      <c r="C29" s="207" t="s">
        <v>135</v>
      </c>
      <c r="D29" s="206" t="s">
        <v>60</v>
      </c>
      <c r="E29" s="201">
        <f>0.2+0.1</f>
        <v>0.30000000000000004</v>
      </c>
      <c r="F29" s="201">
        <v>0.1</v>
      </c>
      <c r="G29" s="190"/>
      <c r="H29" s="190"/>
    </row>
    <row r="30" spans="1:8" s="191" customFormat="1" ht="12.75" customHeight="1" x14ac:dyDescent="0.2">
      <c r="A30" s="192">
        <v>21</v>
      </c>
      <c r="B30" s="199"/>
      <c r="C30" s="207" t="s">
        <v>40</v>
      </c>
      <c r="D30" s="206" t="s">
        <v>60</v>
      </c>
      <c r="E30" s="208">
        <f>0.4+0.3</f>
        <v>0.7</v>
      </c>
      <c r="F30" s="208">
        <v>0.1</v>
      </c>
      <c r="G30" s="190"/>
      <c r="H30" s="190"/>
    </row>
    <row r="31" spans="1:8" s="191" customFormat="1" ht="12.75" customHeight="1" x14ac:dyDescent="0.2">
      <c r="A31" s="192">
        <v>22</v>
      </c>
      <c r="B31" s="199"/>
      <c r="C31" s="205" t="s">
        <v>137</v>
      </c>
      <c r="D31" s="206" t="s">
        <v>60</v>
      </c>
      <c r="E31" s="208">
        <f>2.2+2.2</f>
        <v>4.4000000000000004</v>
      </c>
      <c r="F31" s="208">
        <f>1.9+1.8</f>
        <v>3.7</v>
      </c>
      <c r="G31" s="190"/>
      <c r="H31" s="190"/>
    </row>
    <row r="32" spans="1:8" s="191" customFormat="1" ht="12.75" customHeight="1" x14ac:dyDescent="0.2">
      <c r="A32" s="192">
        <v>23</v>
      </c>
      <c r="B32" s="199"/>
      <c r="C32" s="207" t="s">
        <v>163</v>
      </c>
      <c r="D32" s="206" t="s">
        <v>61</v>
      </c>
      <c r="E32" s="208">
        <f>1.9+3.1</f>
        <v>5</v>
      </c>
      <c r="F32" s="208">
        <f>1.8+3.1</f>
        <v>4.9000000000000004</v>
      </c>
      <c r="G32" s="190"/>
      <c r="H32" s="190"/>
    </row>
    <row r="33" spans="1:8" s="191" customFormat="1" ht="12.75" customHeight="1" x14ac:dyDescent="0.2">
      <c r="A33" s="192">
        <v>24</v>
      </c>
      <c r="B33" s="199"/>
      <c r="C33" s="205" t="s">
        <v>164</v>
      </c>
      <c r="D33" s="209" t="s">
        <v>207</v>
      </c>
      <c r="E33" s="208">
        <f>3.1+1.9</f>
        <v>5</v>
      </c>
      <c r="F33" s="208">
        <f>3+1.9</f>
        <v>4.9000000000000004</v>
      </c>
      <c r="G33" s="190"/>
      <c r="H33" s="190"/>
    </row>
    <row r="34" spans="1:8" s="191" customFormat="1" ht="12.75" customHeight="1" x14ac:dyDescent="0.2">
      <c r="A34" s="192">
        <v>25</v>
      </c>
      <c r="B34" s="199"/>
      <c r="C34" s="207" t="s">
        <v>120</v>
      </c>
      <c r="D34" s="209" t="s">
        <v>207</v>
      </c>
      <c r="E34" s="208">
        <f>0.5+0.5</f>
        <v>1</v>
      </c>
      <c r="F34" s="208">
        <f>0.1+0.1</f>
        <v>0.2</v>
      </c>
      <c r="G34" s="190"/>
      <c r="H34" s="190"/>
    </row>
    <row r="35" spans="1:8" s="191" customFormat="1" ht="12.75" customHeight="1" x14ac:dyDescent="0.2">
      <c r="A35" s="192">
        <v>26</v>
      </c>
      <c r="B35" s="199"/>
      <c r="C35" s="207" t="s">
        <v>136</v>
      </c>
      <c r="D35" s="206" t="s">
        <v>61</v>
      </c>
      <c r="E35" s="208">
        <f>0.7+0.7</f>
        <v>1.4</v>
      </c>
      <c r="F35" s="208">
        <f>0.1+0.1</f>
        <v>0.2</v>
      </c>
      <c r="G35" s="190"/>
      <c r="H35" s="190"/>
    </row>
    <row r="36" spans="1:8" s="191" customFormat="1" ht="12" customHeight="1" x14ac:dyDescent="0.2">
      <c r="A36" s="192">
        <v>27</v>
      </c>
      <c r="B36" s="199"/>
      <c r="C36" s="210" t="s">
        <v>15</v>
      </c>
      <c r="D36" s="199" t="s">
        <v>58</v>
      </c>
      <c r="E36" s="208">
        <f>0.4+0.3</f>
        <v>0.7</v>
      </c>
      <c r="F36" s="208">
        <v>0.1</v>
      </c>
      <c r="G36" s="190"/>
      <c r="H36" s="190"/>
    </row>
    <row r="37" spans="1:8" s="191" customFormat="1" ht="12" customHeight="1" x14ac:dyDescent="0.2">
      <c r="A37" s="192">
        <v>28</v>
      </c>
      <c r="B37" s="199"/>
      <c r="C37" s="210" t="s">
        <v>254</v>
      </c>
      <c r="D37" s="199" t="s">
        <v>58</v>
      </c>
      <c r="E37" s="208">
        <f>0.3+0.3</f>
        <v>0.6</v>
      </c>
      <c r="F37" s="208">
        <f>0.3+0.3</f>
        <v>0.6</v>
      </c>
      <c r="G37" s="190"/>
      <c r="H37" s="190"/>
    </row>
    <row r="38" spans="1:8" s="191" customFormat="1" ht="38.25" x14ac:dyDescent="0.2">
      <c r="A38" s="192">
        <v>29</v>
      </c>
      <c r="B38" s="199" t="s">
        <v>735</v>
      </c>
      <c r="C38" s="211" t="s">
        <v>734</v>
      </c>
      <c r="D38" s="199"/>
      <c r="E38" s="212">
        <f>SUM(E39:E44)</f>
        <v>13.600000000000001</v>
      </c>
      <c r="F38" s="212">
        <f>SUM(F39:F44)</f>
        <v>0</v>
      </c>
      <c r="G38" s="190"/>
      <c r="H38" s="190"/>
    </row>
    <row r="39" spans="1:8" s="191" customFormat="1" ht="12" customHeight="1" x14ac:dyDescent="0.2">
      <c r="A39" s="192">
        <v>30</v>
      </c>
      <c r="B39" s="199"/>
      <c r="C39" s="203" t="s">
        <v>134</v>
      </c>
      <c r="D39" s="199" t="s">
        <v>60</v>
      </c>
      <c r="E39" s="208">
        <v>0.9</v>
      </c>
      <c r="F39" s="213">
        <f>0.9-0.9</f>
        <v>0</v>
      </c>
      <c r="G39" s="190"/>
      <c r="H39" s="190"/>
    </row>
    <row r="40" spans="1:8" s="191" customFormat="1" ht="12" customHeight="1" x14ac:dyDescent="0.2">
      <c r="A40" s="192">
        <v>31</v>
      </c>
      <c r="B40" s="199"/>
      <c r="C40" s="203" t="s">
        <v>40</v>
      </c>
      <c r="D40" s="199" t="s">
        <v>60</v>
      </c>
      <c r="E40" s="208">
        <v>1.8</v>
      </c>
      <c r="F40" s="213">
        <f>1.8-1.8</f>
        <v>0</v>
      </c>
      <c r="G40" s="190"/>
      <c r="H40" s="190"/>
    </row>
    <row r="41" spans="1:8" s="191" customFormat="1" ht="12" customHeight="1" x14ac:dyDescent="0.2">
      <c r="A41" s="192">
        <v>32</v>
      </c>
      <c r="B41" s="199"/>
      <c r="C41" s="214" t="s">
        <v>164</v>
      </c>
      <c r="D41" s="199" t="s">
        <v>61</v>
      </c>
      <c r="E41" s="208">
        <v>3.2</v>
      </c>
      <c r="F41" s="213">
        <f>3.1-3.1</f>
        <v>0</v>
      </c>
      <c r="G41" s="190"/>
      <c r="H41" s="190"/>
    </row>
    <row r="42" spans="1:8" x14ac:dyDescent="0.2">
      <c r="A42" s="192">
        <v>33</v>
      </c>
      <c r="C42" s="203" t="s">
        <v>41</v>
      </c>
      <c r="D42" s="199" t="s">
        <v>61</v>
      </c>
      <c r="E42" s="192">
        <v>2.1</v>
      </c>
      <c r="F42" s="215">
        <f>2.1-2.1</f>
        <v>0</v>
      </c>
      <c r="G42" s="190"/>
      <c r="H42" s="190"/>
    </row>
    <row r="43" spans="1:8" s="191" customFormat="1" ht="12" customHeight="1" x14ac:dyDescent="0.2">
      <c r="A43" s="192">
        <v>34</v>
      </c>
      <c r="B43" s="199"/>
      <c r="C43" s="203" t="s">
        <v>42</v>
      </c>
      <c r="D43" s="199" t="s">
        <v>61</v>
      </c>
      <c r="E43" s="208">
        <v>1.8</v>
      </c>
      <c r="F43" s="213">
        <f>1.7-1.7</f>
        <v>0</v>
      </c>
      <c r="G43" s="190"/>
      <c r="H43" s="190"/>
    </row>
    <row r="44" spans="1:8" s="191" customFormat="1" ht="56.25" customHeight="1" x14ac:dyDescent="0.2">
      <c r="A44" s="192">
        <v>35</v>
      </c>
      <c r="B44" s="199"/>
      <c r="C44" s="203" t="s">
        <v>111</v>
      </c>
      <c r="D44" s="195" t="s">
        <v>326</v>
      </c>
      <c r="E44" s="208">
        <v>3.8</v>
      </c>
      <c r="F44" s="213">
        <f>3.7-3.7</f>
        <v>0</v>
      </c>
      <c r="G44" s="190"/>
      <c r="H44" s="190"/>
    </row>
    <row r="45" spans="1:8" ht="18" customHeight="1" x14ac:dyDescent="0.2">
      <c r="A45" s="192">
        <v>36</v>
      </c>
      <c r="B45" s="189" t="s">
        <v>21</v>
      </c>
      <c r="C45" s="216" t="s">
        <v>22</v>
      </c>
      <c r="D45" s="195"/>
      <c r="E45" s="217">
        <f>+E46+E48+E50+E52+E54+E56+E58+E60+E62+E64+E69+E71+E77+E79+E81</f>
        <v>2355.5</v>
      </c>
      <c r="F45" s="217">
        <f>+F46+F48+F50+F52+F54+F56+F58+F60+F62+F64+F69+F71+F77+F79+F81</f>
        <v>197.40000000000003</v>
      </c>
    </row>
    <row r="46" spans="1:8" ht="25.5" x14ac:dyDescent="0.2">
      <c r="A46" s="192">
        <v>37</v>
      </c>
      <c r="B46" s="199" t="s">
        <v>214</v>
      </c>
      <c r="C46" s="196" t="s">
        <v>450</v>
      </c>
      <c r="D46" s="195"/>
      <c r="E46" s="198">
        <f>+E47</f>
        <v>24.7</v>
      </c>
      <c r="F46" s="198">
        <f>+F47</f>
        <v>24.3</v>
      </c>
    </row>
    <row r="47" spans="1:8" x14ac:dyDescent="0.2">
      <c r="A47" s="192">
        <v>38</v>
      </c>
      <c r="B47" s="199"/>
      <c r="C47" s="218" t="s">
        <v>148</v>
      </c>
      <c r="D47" s="195" t="s">
        <v>23</v>
      </c>
      <c r="E47" s="201">
        <v>24.7</v>
      </c>
      <c r="F47" s="201">
        <v>24.3</v>
      </c>
    </row>
    <row r="48" spans="1:8" ht="25.5" x14ac:dyDescent="0.2">
      <c r="A48" s="192">
        <v>39</v>
      </c>
      <c r="B48" s="199" t="s">
        <v>216</v>
      </c>
      <c r="C48" s="196" t="s">
        <v>551</v>
      </c>
      <c r="D48" s="195"/>
      <c r="E48" s="198">
        <f>+E49</f>
        <v>160.69999999999999</v>
      </c>
      <c r="F48" s="198">
        <f>+F49</f>
        <v>3.1</v>
      </c>
    </row>
    <row r="49" spans="1:8" x14ac:dyDescent="0.2">
      <c r="A49" s="192">
        <v>40</v>
      </c>
      <c r="B49" s="199"/>
      <c r="C49" s="218" t="s">
        <v>3</v>
      </c>
      <c r="D49" s="195" t="s">
        <v>23</v>
      </c>
      <c r="E49" s="201">
        <v>160.69999999999999</v>
      </c>
      <c r="F49" s="201">
        <v>3.1</v>
      </c>
    </row>
    <row r="50" spans="1:8" ht="38.25" x14ac:dyDescent="0.2">
      <c r="A50" s="192">
        <v>41</v>
      </c>
      <c r="B50" s="199" t="s">
        <v>218</v>
      </c>
      <c r="C50" s="204" t="s">
        <v>550</v>
      </c>
      <c r="D50" s="219"/>
      <c r="E50" s="198">
        <f>+E51</f>
        <v>102.6</v>
      </c>
      <c r="F50" s="198">
        <f>+F51</f>
        <v>3</v>
      </c>
    </row>
    <row r="51" spans="1:8" x14ac:dyDescent="0.2">
      <c r="A51" s="192">
        <v>42</v>
      </c>
      <c r="B51" s="199"/>
      <c r="C51" s="218" t="s">
        <v>3</v>
      </c>
      <c r="D51" s="195" t="s">
        <v>529</v>
      </c>
      <c r="E51" s="201">
        <v>102.6</v>
      </c>
      <c r="F51" s="201">
        <v>3</v>
      </c>
    </row>
    <row r="52" spans="1:8" ht="25.5" x14ac:dyDescent="0.2">
      <c r="A52" s="192">
        <v>43</v>
      </c>
      <c r="B52" s="199" t="s">
        <v>221</v>
      </c>
      <c r="C52" s="204" t="s">
        <v>572</v>
      </c>
      <c r="D52" s="219"/>
      <c r="E52" s="198">
        <f>+E53</f>
        <v>67.700000000000017</v>
      </c>
      <c r="F52" s="198">
        <f>+F53</f>
        <v>1.3</v>
      </c>
    </row>
    <row r="53" spans="1:8" x14ac:dyDescent="0.2">
      <c r="A53" s="192">
        <v>44</v>
      </c>
      <c r="B53" s="199"/>
      <c r="C53" s="203" t="s">
        <v>3</v>
      </c>
      <c r="D53" s="195" t="s">
        <v>529</v>
      </c>
      <c r="E53" s="201">
        <f>132.8-65.1</f>
        <v>67.700000000000017</v>
      </c>
      <c r="F53" s="201">
        <f>2.6-1.3</f>
        <v>1.3</v>
      </c>
    </row>
    <row r="54" spans="1:8" ht="25.5" x14ac:dyDescent="0.2">
      <c r="A54" s="192">
        <v>45</v>
      </c>
      <c r="B54" s="199" t="s">
        <v>223</v>
      </c>
      <c r="C54" s="204" t="s">
        <v>573</v>
      </c>
      <c r="D54" s="219"/>
      <c r="E54" s="198">
        <f>+E55</f>
        <v>0.7</v>
      </c>
      <c r="F54" s="198">
        <f>+F55</f>
        <v>0</v>
      </c>
    </row>
    <row r="55" spans="1:8" x14ac:dyDescent="0.2">
      <c r="A55" s="192">
        <v>46</v>
      </c>
      <c r="B55" s="199"/>
      <c r="C55" s="203" t="s">
        <v>3</v>
      </c>
      <c r="D55" s="195" t="s">
        <v>529</v>
      </c>
      <c r="E55" s="201">
        <v>0.7</v>
      </c>
      <c r="F55" s="201"/>
    </row>
    <row r="56" spans="1:8" ht="63.75" x14ac:dyDescent="0.2">
      <c r="A56" s="192">
        <v>47</v>
      </c>
      <c r="B56" s="199" t="s">
        <v>401</v>
      </c>
      <c r="C56" s="204" t="s">
        <v>589</v>
      </c>
      <c r="D56" s="219"/>
      <c r="E56" s="198">
        <f>+E57</f>
        <v>1.6</v>
      </c>
      <c r="F56" s="198">
        <f>+F57</f>
        <v>0</v>
      </c>
    </row>
    <row r="57" spans="1:8" x14ac:dyDescent="0.2">
      <c r="A57" s="192">
        <v>48</v>
      </c>
      <c r="B57" s="199"/>
      <c r="C57" s="203" t="s">
        <v>3</v>
      </c>
      <c r="D57" s="195" t="s">
        <v>529</v>
      </c>
      <c r="E57" s="201">
        <f>0.6+1</f>
        <v>1.6</v>
      </c>
      <c r="F57" s="201"/>
    </row>
    <row r="58" spans="1:8" ht="38.25" x14ac:dyDescent="0.2">
      <c r="A58" s="192">
        <v>49</v>
      </c>
      <c r="B58" s="199" t="s">
        <v>542</v>
      </c>
      <c r="C58" s="204" t="s">
        <v>608</v>
      </c>
      <c r="D58" s="195"/>
      <c r="E58" s="198">
        <f>+E59</f>
        <v>106.3</v>
      </c>
      <c r="F58" s="198">
        <f>+F59</f>
        <v>1.9000000000000001</v>
      </c>
      <c r="G58" s="172"/>
      <c r="H58" s="172"/>
    </row>
    <row r="59" spans="1:8" x14ac:dyDescent="0.2">
      <c r="A59" s="192">
        <v>50</v>
      </c>
      <c r="B59" s="199"/>
      <c r="C59" s="203" t="s">
        <v>3</v>
      </c>
      <c r="D59" s="195" t="s">
        <v>529</v>
      </c>
      <c r="E59" s="201">
        <f>24.9+22.6+16.5+19+23.3</f>
        <v>106.3</v>
      </c>
      <c r="F59" s="201">
        <f>0.5+0.3+0.3+0.3+0.5</f>
        <v>1.9000000000000001</v>
      </c>
    </row>
    <row r="60" spans="1:8" ht="25.5" x14ac:dyDescent="0.2">
      <c r="A60" s="192">
        <v>51</v>
      </c>
      <c r="B60" s="199" t="s">
        <v>697</v>
      </c>
      <c r="C60" s="204" t="s">
        <v>694</v>
      </c>
      <c r="D60" s="195"/>
      <c r="E60" s="201">
        <f>+E61</f>
        <v>0.1</v>
      </c>
      <c r="F60" s="201">
        <f>+F61</f>
        <v>0</v>
      </c>
    </row>
    <row r="61" spans="1:8" x14ac:dyDescent="0.2">
      <c r="A61" s="192">
        <v>52</v>
      </c>
      <c r="B61" s="199"/>
      <c r="C61" s="203" t="s">
        <v>3</v>
      </c>
      <c r="D61" s="195" t="s">
        <v>529</v>
      </c>
      <c r="E61" s="201">
        <v>0.1</v>
      </c>
      <c r="F61" s="201"/>
    </row>
    <row r="62" spans="1:8" ht="25.5" x14ac:dyDescent="0.2">
      <c r="A62" s="192">
        <v>53</v>
      </c>
      <c r="B62" s="199" t="s">
        <v>698</v>
      </c>
      <c r="C62" s="204" t="s">
        <v>696</v>
      </c>
      <c r="D62" s="195"/>
      <c r="E62" s="201">
        <f>+E63</f>
        <v>28.7</v>
      </c>
      <c r="F62" s="201">
        <f>+F63</f>
        <v>1.1000000000000001</v>
      </c>
    </row>
    <row r="63" spans="1:8" x14ac:dyDescent="0.2">
      <c r="A63" s="192">
        <v>54</v>
      </c>
      <c r="B63" s="199"/>
      <c r="C63" s="203" t="s">
        <v>615</v>
      </c>
      <c r="D63" s="195" t="s">
        <v>529</v>
      </c>
      <c r="E63" s="201">
        <v>28.7</v>
      </c>
      <c r="F63" s="201">
        <v>1.1000000000000001</v>
      </c>
    </row>
    <row r="64" spans="1:8" ht="25.5" x14ac:dyDescent="0.2">
      <c r="A64" s="192">
        <v>55</v>
      </c>
      <c r="B64" s="199" t="s">
        <v>701</v>
      </c>
      <c r="C64" s="196" t="s">
        <v>702</v>
      </c>
      <c r="D64" s="219"/>
      <c r="E64" s="198">
        <f>SUM(E65:E68)</f>
        <v>18</v>
      </c>
      <c r="F64" s="198">
        <f>SUM(F65:F68)</f>
        <v>17.600000000000001</v>
      </c>
    </row>
    <row r="65" spans="1:11" ht="38.25" x14ac:dyDescent="0.2">
      <c r="A65" s="192">
        <v>56</v>
      </c>
      <c r="B65" s="199"/>
      <c r="C65" s="202" t="s">
        <v>1</v>
      </c>
      <c r="D65" s="195" t="s">
        <v>70</v>
      </c>
      <c r="E65" s="201">
        <v>5.2</v>
      </c>
      <c r="F65" s="201">
        <v>5</v>
      </c>
    </row>
    <row r="66" spans="1:11" x14ac:dyDescent="0.2">
      <c r="A66" s="192">
        <v>57</v>
      </c>
      <c r="B66" s="199"/>
      <c r="C66" s="220" t="s">
        <v>2</v>
      </c>
      <c r="D66" s="221" t="s">
        <v>71</v>
      </c>
      <c r="E66" s="201">
        <v>4.5</v>
      </c>
      <c r="F66" s="201">
        <v>4.4000000000000004</v>
      </c>
    </row>
    <row r="67" spans="1:11" x14ac:dyDescent="0.2">
      <c r="A67" s="192">
        <v>58</v>
      </c>
      <c r="B67" s="199"/>
      <c r="C67" s="222" t="s">
        <v>15</v>
      </c>
      <c r="D67" s="195" t="s">
        <v>103</v>
      </c>
      <c r="E67" s="201">
        <v>2.1</v>
      </c>
      <c r="F67" s="201">
        <v>2.1</v>
      </c>
    </row>
    <row r="68" spans="1:11" x14ac:dyDescent="0.2">
      <c r="A68" s="192">
        <v>59</v>
      </c>
      <c r="B68" s="199"/>
      <c r="C68" s="220" t="s">
        <v>148</v>
      </c>
      <c r="D68" s="195" t="s">
        <v>23</v>
      </c>
      <c r="E68" s="201">
        <v>6.2</v>
      </c>
      <c r="F68" s="201">
        <v>6.1</v>
      </c>
    </row>
    <row r="69" spans="1:11" ht="38.25" x14ac:dyDescent="0.2">
      <c r="A69" s="192">
        <v>60</v>
      </c>
      <c r="B69" s="199" t="s">
        <v>744</v>
      </c>
      <c r="C69" s="223" t="s">
        <v>729</v>
      </c>
      <c r="D69" s="195"/>
      <c r="E69" s="198">
        <f>+E70</f>
        <v>1639.3</v>
      </c>
      <c r="F69" s="198">
        <f>+F70</f>
        <v>0</v>
      </c>
      <c r="G69" s="172"/>
      <c r="J69" s="224"/>
    </row>
    <row r="70" spans="1:11" x14ac:dyDescent="0.2">
      <c r="A70" s="192">
        <v>61</v>
      </c>
      <c r="B70" s="199"/>
      <c r="C70" s="203" t="s">
        <v>3</v>
      </c>
      <c r="D70" s="195" t="s">
        <v>529</v>
      </c>
      <c r="E70" s="201">
        <v>1639.3</v>
      </c>
      <c r="F70" s="201"/>
      <c r="G70" s="172"/>
      <c r="J70" s="224"/>
    </row>
    <row r="71" spans="1:11" ht="38.25" x14ac:dyDescent="0.2">
      <c r="A71" s="192">
        <v>62</v>
      </c>
      <c r="B71" s="199" t="s">
        <v>766</v>
      </c>
      <c r="C71" s="204" t="s">
        <v>770</v>
      </c>
      <c r="D71" s="219"/>
      <c r="E71" s="201">
        <f>SUM(E72:E76)</f>
        <v>147.20000000000002</v>
      </c>
      <c r="F71" s="201">
        <f>SUM(F72:F76)</f>
        <v>145.10000000000002</v>
      </c>
      <c r="G71" s="172"/>
      <c r="J71" s="224"/>
      <c r="K71" s="225"/>
    </row>
    <row r="72" spans="1:11" ht="38.25" x14ac:dyDescent="0.2">
      <c r="A72" s="192">
        <v>63</v>
      </c>
      <c r="B72" s="199"/>
      <c r="C72" s="214" t="s">
        <v>1</v>
      </c>
      <c r="D72" s="195" t="s">
        <v>70</v>
      </c>
      <c r="E72" s="201">
        <v>60.9</v>
      </c>
      <c r="F72" s="201">
        <v>60</v>
      </c>
      <c r="G72" s="172"/>
      <c r="J72" s="224"/>
    </row>
    <row r="73" spans="1:11" x14ac:dyDescent="0.2">
      <c r="A73" s="192">
        <v>64</v>
      </c>
      <c r="B73" s="199"/>
      <c r="C73" s="226" t="s">
        <v>2</v>
      </c>
      <c r="D73" s="195" t="s">
        <v>71</v>
      </c>
      <c r="E73" s="201">
        <v>7</v>
      </c>
      <c r="F73" s="201">
        <v>6.9</v>
      </c>
      <c r="J73" s="224"/>
    </row>
    <row r="74" spans="1:11" x14ac:dyDescent="0.2">
      <c r="A74" s="192">
        <v>65</v>
      </c>
      <c r="B74" s="199"/>
      <c r="C74" s="222" t="s">
        <v>15</v>
      </c>
      <c r="D74" s="195" t="s">
        <v>103</v>
      </c>
      <c r="E74" s="201">
        <v>12.7</v>
      </c>
      <c r="F74" s="201">
        <v>12.5</v>
      </c>
      <c r="G74" s="172"/>
      <c r="J74" s="224"/>
    </row>
    <row r="75" spans="1:11" x14ac:dyDescent="0.2">
      <c r="A75" s="192">
        <v>66</v>
      </c>
      <c r="B75" s="199"/>
      <c r="C75" s="222" t="s">
        <v>19</v>
      </c>
      <c r="D75" s="195" t="s">
        <v>71</v>
      </c>
      <c r="E75" s="201">
        <v>9.5</v>
      </c>
      <c r="F75" s="201">
        <v>9.4</v>
      </c>
      <c r="G75" s="172"/>
      <c r="J75" s="224"/>
    </row>
    <row r="76" spans="1:11" x14ac:dyDescent="0.2">
      <c r="A76" s="192">
        <v>67</v>
      </c>
      <c r="B76" s="199"/>
      <c r="C76" s="214" t="s">
        <v>148</v>
      </c>
      <c r="D76" s="195" t="s">
        <v>23</v>
      </c>
      <c r="E76" s="201">
        <v>57.1</v>
      </c>
      <c r="F76" s="201">
        <v>56.3</v>
      </c>
      <c r="G76" s="172"/>
      <c r="J76" s="224"/>
    </row>
    <row r="77" spans="1:11" ht="51" x14ac:dyDescent="0.2">
      <c r="A77" s="192">
        <v>68</v>
      </c>
      <c r="B77" s="199" t="s">
        <v>777</v>
      </c>
      <c r="C77" s="204" t="s">
        <v>778</v>
      </c>
      <c r="D77" s="195"/>
      <c r="E77" s="201">
        <f>+E78</f>
        <v>5.8</v>
      </c>
      <c r="F77" s="201">
        <f>+F78</f>
        <v>0</v>
      </c>
      <c r="G77" s="172"/>
      <c r="J77" s="224"/>
    </row>
    <row r="78" spans="1:11" x14ac:dyDescent="0.2">
      <c r="A78" s="192">
        <v>69</v>
      </c>
      <c r="B78" s="199"/>
      <c r="C78" s="218" t="s">
        <v>3</v>
      </c>
      <c r="D78" s="195" t="s">
        <v>31</v>
      </c>
      <c r="E78" s="201">
        <v>5.8</v>
      </c>
      <c r="F78" s="201"/>
      <c r="G78" s="172"/>
      <c r="J78" s="224"/>
    </row>
    <row r="79" spans="1:11" ht="63.75" x14ac:dyDescent="0.2">
      <c r="A79" s="192">
        <v>70</v>
      </c>
      <c r="B79" s="199" t="s">
        <v>780</v>
      </c>
      <c r="C79" s="204" t="s">
        <v>789</v>
      </c>
      <c r="D79" s="195"/>
      <c r="E79" s="201">
        <f>+E80</f>
        <v>51.7</v>
      </c>
      <c r="F79" s="201">
        <f>+F80</f>
        <v>0</v>
      </c>
      <c r="G79" s="172"/>
      <c r="J79" s="224"/>
    </row>
    <row r="80" spans="1:11" x14ac:dyDescent="0.2">
      <c r="A80" s="192">
        <v>71</v>
      </c>
      <c r="B80" s="199"/>
      <c r="C80" s="203" t="s">
        <v>3</v>
      </c>
      <c r="D80" s="195" t="s">
        <v>529</v>
      </c>
      <c r="E80" s="201">
        <v>51.7</v>
      </c>
      <c r="F80" s="201"/>
      <c r="G80" s="172"/>
      <c r="J80" s="224"/>
    </row>
    <row r="81" spans="1:10" ht="51" x14ac:dyDescent="0.2">
      <c r="A81" s="192">
        <v>72</v>
      </c>
      <c r="B81" s="199" t="s">
        <v>781</v>
      </c>
      <c r="C81" s="204" t="s">
        <v>779</v>
      </c>
      <c r="D81" s="195"/>
      <c r="E81" s="201">
        <f>+E82</f>
        <v>0.4</v>
      </c>
      <c r="F81" s="201">
        <f>+F82</f>
        <v>0</v>
      </c>
      <c r="G81" s="172"/>
      <c r="J81" s="224"/>
    </row>
    <row r="82" spans="1:10" x14ac:dyDescent="0.2">
      <c r="A82" s="192">
        <v>73</v>
      </c>
      <c r="B82" s="199"/>
      <c r="C82" s="203" t="s">
        <v>3</v>
      </c>
      <c r="D82" s="195" t="s">
        <v>529</v>
      </c>
      <c r="E82" s="201">
        <v>0.4</v>
      </c>
      <c r="F82" s="201"/>
      <c r="G82" s="172"/>
      <c r="J82" s="224"/>
    </row>
    <row r="83" spans="1:10" x14ac:dyDescent="0.2">
      <c r="A83" s="192">
        <v>74</v>
      </c>
      <c r="B83" s="189" t="s">
        <v>78</v>
      </c>
      <c r="C83" s="216" t="s">
        <v>79</v>
      </c>
      <c r="D83" s="197"/>
      <c r="E83" s="227">
        <f>+E84+E86+E89</f>
        <v>386.6</v>
      </c>
      <c r="F83" s="227">
        <f>+F84+F86+F89</f>
        <v>0.6</v>
      </c>
    </row>
    <row r="84" spans="1:10" ht="25.5" x14ac:dyDescent="0.2">
      <c r="A84" s="192">
        <v>75</v>
      </c>
      <c r="B84" s="199" t="s">
        <v>560</v>
      </c>
      <c r="C84" s="196" t="s">
        <v>561</v>
      </c>
      <c r="D84" s="197"/>
      <c r="E84" s="201">
        <f>+E85</f>
        <v>54.6</v>
      </c>
      <c r="F84" s="201">
        <f>+F85</f>
        <v>0</v>
      </c>
    </row>
    <row r="85" spans="1:10" ht="25.5" x14ac:dyDescent="0.2">
      <c r="A85" s="192">
        <v>76</v>
      </c>
      <c r="B85" s="199"/>
      <c r="C85" s="203" t="s">
        <v>53</v>
      </c>
      <c r="D85" s="199" t="s">
        <v>81</v>
      </c>
      <c r="E85" s="201">
        <v>54.6</v>
      </c>
      <c r="F85" s="201"/>
    </row>
    <row r="86" spans="1:10" ht="25.5" x14ac:dyDescent="0.2">
      <c r="A86" s="192">
        <v>77</v>
      </c>
      <c r="B86" s="199" t="s">
        <v>706</v>
      </c>
      <c r="C86" s="196" t="s">
        <v>705</v>
      </c>
      <c r="D86" s="197"/>
      <c r="E86" s="198">
        <f>+E87</f>
        <v>300</v>
      </c>
      <c r="F86" s="198">
        <f>+F87</f>
        <v>0</v>
      </c>
    </row>
    <row r="87" spans="1:10" x14ac:dyDescent="0.2">
      <c r="A87" s="192">
        <v>78</v>
      </c>
      <c r="B87" s="199"/>
      <c r="C87" s="203" t="s">
        <v>3</v>
      </c>
      <c r="D87" s="197"/>
      <c r="E87" s="201">
        <f>+E88</f>
        <v>300</v>
      </c>
      <c r="F87" s="201">
        <f>+F88</f>
        <v>0</v>
      </c>
    </row>
    <row r="88" spans="1:10" ht="25.5" x14ac:dyDescent="0.2">
      <c r="A88" s="192">
        <v>79</v>
      </c>
      <c r="B88" s="199"/>
      <c r="C88" s="200" t="s">
        <v>704</v>
      </c>
      <c r="D88" s="197" t="s">
        <v>80</v>
      </c>
      <c r="E88" s="201">
        <v>300</v>
      </c>
      <c r="F88" s="201"/>
    </row>
    <row r="89" spans="1:10" ht="25.5" x14ac:dyDescent="0.2">
      <c r="A89" s="192">
        <v>80</v>
      </c>
      <c r="B89" s="199" t="s">
        <v>756</v>
      </c>
      <c r="C89" s="196" t="s">
        <v>757</v>
      </c>
      <c r="D89" s="197"/>
      <c r="E89" s="201">
        <f>+E90</f>
        <v>32</v>
      </c>
      <c r="F89" s="201">
        <f>+F90</f>
        <v>0.6</v>
      </c>
    </row>
    <row r="90" spans="1:10" x14ac:dyDescent="0.2">
      <c r="A90" s="192">
        <v>81</v>
      </c>
      <c r="B90" s="199"/>
      <c r="C90" s="200" t="s">
        <v>3</v>
      </c>
      <c r="D90" s="197" t="s">
        <v>758</v>
      </c>
      <c r="E90" s="201">
        <v>32</v>
      </c>
      <c r="F90" s="201">
        <v>0.6</v>
      </c>
    </row>
    <row r="91" spans="1:10" ht="21" customHeight="1" x14ac:dyDescent="0.2">
      <c r="A91" s="192">
        <v>82</v>
      </c>
      <c r="B91" s="189" t="s">
        <v>84</v>
      </c>
      <c r="C91" s="228" t="s">
        <v>85</v>
      </c>
      <c r="D91" s="199"/>
      <c r="E91" s="217">
        <f>+E92</f>
        <v>2995.6</v>
      </c>
      <c r="F91" s="217">
        <f>+F92</f>
        <v>0</v>
      </c>
    </row>
    <row r="92" spans="1:10" ht="25.5" x14ac:dyDescent="0.2">
      <c r="A92" s="192">
        <v>83</v>
      </c>
      <c r="B92" s="199" t="s">
        <v>719</v>
      </c>
      <c r="C92" s="204" t="s">
        <v>720</v>
      </c>
      <c r="D92" s="199"/>
      <c r="E92" s="201">
        <f>+E93</f>
        <v>2995.6</v>
      </c>
      <c r="F92" s="201">
        <f>+F93</f>
        <v>0</v>
      </c>
    </row>
    <row r="93" spans="1:10" x14ac:dyDescent="0.2">
      <c r="A93" s="192">
        <v>84</v>
      </c>
      <c r="B93" s="189"/>
      <c r="C93" s="203" t="s">
        <v>3</v>
      </c>
      <c r="D93" s="199" t="s">
        <v>557</v>
      </c>
      <c r="E93" s="201">
        <f>2878.6+117</f>
        <v>2995.6</v>
      </c>
      <c r="F93" s="201"/>
    </row>
    <row r="94" spans="1:10" x14ac:dyDescent="0.2">
      <c r="A94" s="192">
        <v>85</v>
      </c>
      <c r="B94" s="189" t="s">
        <v>89</v>
      </c>
      <c r="C94" s="216" t="s">
        <v>90</v>
      </c>
      <c r="D94" s="199"/>
      <c r="E94" s="217">
        <f>+E95+E97+E99+E101</f>
        <v>100.19999999999999</v>
      </c>
      <c r="F94" s="217">
        <f>+F95+F97+F99+F101</f>
        <v>0</v>
      </c>
    </row>
    <row r="95" spans="1:10" ht="38.25" x14ac:dyDescent="0.2">
      <c r="A95" s="192">
        <v>86</v>
      </c>
      <c r="B95" s="199" t="s">
        <v>570</v>
      </c>
      <c r="C95" s="229" t="s">
        <v>723</v>
      </c>
      <c r="D95" s="199"/>
      <c r="E95" s="198">
        <f>+E96</f>
        <v>14.1</v>
      </c>
      <c r="F95" s="198">
        <f>+F96</f>
        <v>0</v>
      </c>
      <c r="J95" s="230"/>
    </row>
    <row r="96" spans="1:10" x14ac:dyDescent="0.2">
      <c r="A96" s="192">
        <v>87</v>
      </c>
      <c r="B96" s="189"/>
      <c r="C96" s="218" t="s">
        <v>3</v>
      </c>
      <c r="D96" s="199" t="s">
        <v>143</v>
      </c>
      <c r="E96" s="201">
        <v>14.1</v>
      </c>
      <c r="F96" s="201"/>
    </row>
    <row r="97" spans="1:6" ht="25.5" x14ac:dyDescent="0.2">
      <c r="A97" s="192">
        <v>88</v>
      </c>
      <c r="B97" s="199" t="s">
        <v>740</v>
      </c>
      <c r="C97" s="229" t="s">
        <v>737</v>
      </c>
      <c r="D97" s="199"/>
      <c r="E97" s="201">
        <f>+E98</f>
        <v>15.4</v>
      </c>
      <c r="F97" s="201"/>
    </row>
    <row r="98" spans="1:6" x14ac:dyDescent="0.2">
      <c r="A98" s="192">
        <v>89</v>
      </c>
      <c r="B98" s="199"/>
      <c r="C98" s="218" t="s">
        <v>3</v>
      </c>
      <c r="D98" s="231" t="s">
        <v>92</v>
      </c>
      <c r="E98" s="201">
        <v>15.4</v>
      </c>
      <c r="F98" s="201"/>
    </row>
    <row r="99" spans="1:6" ht="25.5" x14ac:dyDescent="0.2">
      <c r="A99" s="192">
        <v>90</v>
      </c>
      <c r="B99" s="199" t="s">
        <v>741</v>
      </c>
      <c r="C99" s="229" t="s">
        <v>739</v>
      </c>
      <c r="D99" s="199"/>
      <c r="E99" s="201">
        <f>+E100</f>
        <v>27.8</v>
      </c>
      <c r="F99" s="201"/>
    </row>
    <row r="100" spans="1:6" x14ac:dyDescent="0.2">
      <c r="A100" s="192">
        <v>91</v>
      </c>
      <c r="B100" s="189"/>
      <c r="C100" s="218" t="s">
        <v>3</v>
      </c>
      <c r="D100" s="231" t="s">
        <v>92</v>
      </c>
      <c r="E100" s="201">
        <v>27.8</v>
      </c>
      <c r="F100" s="201"/>
    </row>
    <row r="101" spans="1:6" x14ac:dyDescent="0.2">
      <c r="A101" s="192">
        <v>92</v>
      </c>
      <c r="B101" s="199" t="s">
        <v>743</v>
      </c>
      <c r="C101" s="232" t="s">
        <v>742</v>
      </c>
      <c r="D101" s="231"/>
      <c r="E101" s="201">
        <f>+E102</f>
        <v>42.9</v>
      </c>
      <c r="F101" s="201"/>
    </row>
    <row r="102" spans="1:6" x14ac:dyDescent="0.2">
      <c r="A102" s="192">
        <v>93</v>
      </c>
      <c r="B102" s="189"/>
      <c r="C102" s="218" t="s">
        <v>3</v>
      </c>
      <c r="D102" s="231" t="s">
        <v>92</v>
      </c>
      <c r="E102" s="201">
        <f>12.9+30</f>
        <v>42.9</v>
      </c>
      <c r="F102" s="201"/>
    </row>
    <row r="103" spans="1:6" x14ac:dyDescent="0.2">
      <c r="A103" s="192">
        <v>94</v>
      </c>
      <c r="B103" s="189" t="s">
        <v>32</v>
      </c>
      <c r="C103" s="216" t="s">
        <v>33</v>
      </c>
      <c r="D103" s="199"/>
      <c r="E103" s="217">
        <f>+E104+E106</f>
        <v>582</v>
      </c>
      <c r="F103" s="217">
        <f>+F104+F106</f>
        <v>0</v>
      </c>
    </row>
    <row r="104" spans="1:6" ht="38.25" x14ac:dyDescent="0.2">
      <c r="A104" s="192">
        <v>95</v>
      </c>
      <c r="B104" s="199" t="s">
        <v>225</v>
      </c>
      <c r="C104" s="229" t="s">
        <v>571</v>
      </c>
      <c r="D104" s="195"/>
      <c r="E104" s="201">
        <f>+E105</f>
        <v>282</v>
      </c>
      <c r="F104" s="201">
        <f>+F105</f>
        <v>0</v>
      </c>
    </row>
    <row r="105" spans="1:6" x14ac:dyDescent="0.2">
      <c r="A105" s="192">
        <v>96</v>
      </c>
      <c r="B105" s="199"/>
      <c r="C105" s="218" t="s">
        <v>3</v>
      </c>
      <c r="D105" s="195" t="s">
        <v>143</v>
      </c>
      <c r="E105" s="201">
        <v>282</v>
      </c>
      <c r="F105" s="201"/>
    </row>
    <row r="106" spans="1:6" ht="51" x14ac:dyDescent="0.2">
      <c r="A106" s="192">
        <v>97</v>
      </c>
      <c r="B106" s="199" t="s">
        <v>228</v>
      </c>
      <c r="C106" s="229" t="s">
        <v>730</v>
      </c>
      <c r="D106" s="195"/>
      <c r="E106" s="201">
        <f>+E107</f>
        <v>300</v>
      </c>
      <c r="F106" s="201">
        <f>+F107</f>
        <v>0</v>
      </c>
    </row>
    <row r="107" spans="1:6" x14ac:dyDescent="0.2">
      <c r="A107" s="192">
        <v>98</v>
      </c>
      <c r="B107" s="199"/>
      <c r="C107" s="218" t="s">
        <v>3</v>
      </c>
      <c r="D107" s="199" t="s">
        <v>230</v>
      </c>
      <c r="E107" s="201">
        <v>300</v>
      </c>
      <c r="F107" s="201"/>
    </row>
    <row r="108" spans="1:6" x14ac:dyDescent="0.2">
      <c r="A108" s="192">
        <v>99</v>
      </c>
      <c r="B108" s="189" t="s">
        <v>95</v>
      </c>
      <c r="C108" s="216" t="s">
        <v>96</v>
      </c>
      <c r="D108" s="199"/>
      <c r="E108" s="217">
        <f>+E109+E111</f>
        <v>3978.9</v>
      </c>
      <c r="F108" s="217">
        <f>+F109+F111</f>
        <v>0</v>
      </c>
    </row>
    <row r="109" spans="1:6" ht="63.75" x14ac:dyDescent="0.2">
      <c r="A109" s="192">
        <v>100</v>
      </c>
      <c r="B109" s="199" t="s">
        <v>526</v>
      </c>
      <c r="C109" s="229" t="s">
        <v>775</v>
      </c>
      <c r="D109" s="199"/>
      <c r="E109" s="201">
        <f>+E110</f>
        <v>1482.4</v>
      </c>
      <c r="F109" s="201">
        <f>+F110</f>
        <v>0</v>
      </c>
    </row>
    <row r="110" spans="1:6" x14ac:dyDescent="0.2">
      <c r="A110" s="192">
        <v>101</v>
      </c>
      <c r="B110" s="199"/>
      <c r="C110" s="218" t="s">
        <v>3</v>
      </c>
      <c r="D110" s="199" t="s">
        <v>230</v>
      </c>
      <c r="E110" s="201">
        <v>1482.4</v>
      </c>
      <c r="F110" s="201"/>
    </row>
    <row r="111" spans="1:6" ht="38.25" x14ac:dyDescent="0.2">
      <c r="A111" s="192">
        <v>102</v>
      </c>
      <c r="B111" s="199" t="s">
        <v>583</v>
      </c>
      <c r="C111" s="229" t="s">
        <v>774</v>
      </c>
      <c r="D111" s="199"/>
      <c r="E111" s="201">
        <f>+E112</f>
        <v>2496.5</v>
      </c>
      <c r="F111" s="201">
        <f>+F112</f>
        <v>0</v>
      </c>
    </row>
    <row r="112" spans="1:6" x14ac:dyDescent="0.2">
      <c r="A112" s="192">
        <v>103</v>
      </c>
      <c r="B112" s="199"/>
      <c r="C112" s="218" t="s">
        <v>3</v>
      </c>
      <c r="D112" s="199" t="s">
        <v>557</v>
      </c>
      <c r="E112" s="201">
        <v>2496.5</v>
      </c>
      <c r="F112" s="201"/>
    </row>
    <row r="113" spans="1:6" x14ac:dyDescent="0.2">
      <c r="A113" s="192">
        <v>104</v>
      </c>
      <c r="B113" s="189" t="s">
        <v>25</v>
      </c>
      <c r="C113" s="216" t="s">
        <v>26</v>
      </c>
      <c r="D113" s="195"/>
      <c r="E113" s="217">
        <f>+E114</f>
        <v>8.6</v>
      </c>
      <c r="F113" s="217">
        <f>+F114</f>
        <v>0</v>
      </c>
    </row>
    <row r="114" spans="1:6" ht="51" x14ac:dyDescent="0.2">
      <c r="A114" s="192">
        <v>105</v>
      </c>
      <c r="B114" s="199"/>
      <c r="C114" s="196" t="s">
        <v>732</v>
      </c>
      <c r="D114" s="197"/>
      <c r="E114" s="201">
        <f>+E115</f>
        <v>8.6</v>
      </c>
      <c r="F114" s="201">
        <f>+F115</f>
        <v>0</v>
      </c>
    </row>
    <row r="115" spans="1:6" x14ac:dyDescent="0.2">
      <c r="A115" s="192">
        <v>106</v>
      </c>
      <c r="B115" s="199"/>
      <c r="C115" s="200" t="s">
        <v>3</v>
      </c>
      <c r="D115" s="197">
        <v>10</v>
      </c>
      <c r="E115" s="201">
        <v>8.6</v>
      </c>
      <c r="F115" s="201"/>
    </row>
    <row r="116" spans="1:6" x14ac:dyDescent="0.2">
      <c r="A116" s="192">
        <v>107</v>
      </c>
      <c r="B116" s="189"/>
      <c r="C116" s="233" t="s">
        <v>20</v>
      </c>
      <c r="D116" s="199"/>
      <c r="E116" s="217">
        <f>+E10+E45+E83+E91+E94+E103+E108+E113</f>
        <v>11435.800000000001</v>
      </c>
      <c r="F116" s="217">
        <f>+F10+F45+F83+F91+F94+F103+F108+F113</f>
        <v>219.90000000000003</v>
      </c>
    </row>
    <row r="117" spans="1:6" x14ac:dyDescent="0.2">
      <c r="C117" s="175" t="s">
        <v>113</v>
      </c>
      <c r="D117" s="169"/>
      <c r="E117" s="234"/>
      <c r="F117" s="234"/>
    </row>
    <row r="118" spans="1:6" ht="13.5" customHeight="1" x14ac:dyDescent="0.2">
      <c r="C118" s="235"/>
      <c r="E118" s="234"/>
      <c r="F118" s="234"/>
    </row>
    <row r="119" spans="1:6" x14ac:dyDescent="0.2">
      <c r="C119" s="235"/>
      <c r="D119" s="172"/>
      <c r="E119" s="236"/>
      <c r="F119" s="236"/>
    </row>
    <row r="120" spans="1:6" x14ac:dyDescent="0.2">
      <c r="D120" s="237"/>
      <c r="E120" s="236"/>
      <c r="F120" s="236"/>
    </row>
    <row r="121" spans="1:6" x14ac:dyDescent="0.2">
      <c r="C121" s="238"/>
      <c r="E121" s="236"/>
      <c r="F121" s="236"/>
    </row>
    <row r="122" spans="1:6" x14ac:dyDescent="0.2">
      <c r="C122" s="239"/>
      <c r="E122" s="236"/>
      <c r="F122" s="236"/>
    </row>
    <row r="123" spans="1:6" x14ac:dyDescent="0.2">
      <c r="C123" s="240"/>
      <c r="E123" s="234"/>
    </row>
    <row r="124" spans="1:6" x14ac:dyDescent="0.2">
      <c r="C124" s="238"/>
    </row>
    <row r="125" spans="1:6" x14ac:dyDescent="0.2">
      <c r="C125" s="241"/>
      <c r="E125" s="236"/>
    </row>
    <row r="129" spans="5:5" x14ac:dyDescent="0.2">
      <c r="E129" s="236"/>
    </row>
    <row r="130" spans="5:5" x14ac:dyDescent="0.2">
      <c r="E130" s="236"/>
    </row>
    <row r="132" spans="5:5" x14ac:dyDescent="0.2">
      <c r="E132" s="236"/>
    </row>
  </sheetData>
  <mergeCells count="4">
    <mergeCell ref="A5:F5"/>
    <mergeCell ref="C1:F1"/>
    <mergeCell ref="C2:F2"/>
    <mergeCell ref="E3:F3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10</vt:i4>
      </vt:variant>
    </vt:vector>
  </HeadingPairs>
  <TitlesOfParts>
    <vt:vector size="15" baseType="lpstr">
      <vt:lpstr>1 pr</vt:lpstr>
      <vt:lpstr>3 pr</vt:lpstr>
      <vt:lpstr>7 pr</vt:lpstr>
      <vt:lpstr>8 pr</vt:lpstr>
      <vt:lpstr>10 pr</vt:lpstr>
      <vt:lpstr>'1 pr'!Print_Area</vt:lpstr>
      <vt:lpstr>'10 pr'!Print_Area</vt:lpstr>
      <vt:lpstr>'3 pr'!Print_Area</vt:lpstr>
      <vt:lpstr>'7 pr'!Print_Area</vt:lpstr>
      <vt:lpstr>'8 pr'!Print_Area</vt:lpstr>
      <vt:lpstr>'1 pr'!Print_Titles</vt:lpstr>
      <vt:lpstr>'10 pr'!Print_Titles</vt:lpstr>
      <vt:lpstr>'3 pr'!Print_Titles</vt:lpstr>
      <vt:lpstr>'7 pr'!Print_Titles</vt:lpstr>
      <vt:lpstr>'8 pr'!Print_Titles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Vartotoja</cp:lastModifiedBy>
  <cp:lastPrinted>2023-06-09T11:33:43Z</cp:lastPrinted>
  <dcterms:created xsi:type="dcterms:W3CDTF">1996-10-14T23:33:28Z</dcterms:created>
  <dcterms:modified xsi:type="dcterms:W3CDTF">2023-06-09T11:35:34Z</dcterms:modified>
</cp:coreProperties>
</file>