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24226"/>
  <mc:AlternateContent xmlns:mc="http://schemas.openxmlformats.org/markup-compatibility/2006">
    <mc:Choice Requires="x15">
      <x15ac:absPath xmlns:x15ac="http://schemas.microsoft.com/office/spreadsheetml/2010/11/ac" url="C:\Users\Vartotoja\Desktop\44 POSĖDIS\SP\TS\"/>
    </mc:Choice>
  </mc:AlternateContent>
  <bookViews>
    <workbookView xWindow="0" yWindow="0" windowWidth="19200" windowHeight="7248" tabRatio="897" activeTab="1"/>
  </bookViews>
  <sheets>
    <sheet name="1 pr" sheetId="75" r:id="rId1"/>
    <sheet name="3 pr" sheetId="76" r:id="rId2"/>
    <sheet name="7 pr" sheetId="77" r:id="rId3"/>
    <sheet name="8 pr" sheetId="78" r:id="rId4"/>
    <sheet name="10 pr" sheetId="79" r:id="rId5"/>
  </sheets>
  <definedNames>
    <definedName name="_xlnm.Print_Area" localSheetId="0">'1 pr'!$A$1:$C$114</definedName>
    <definedName name="_xlnm.Print_Area" localSheetId="4">'10 pr'!$A$1:$F$187</definedName>
    <definedName name="_xlnm.Print_Area" localSheetId="1">'3 pr'!$A$1:$F$311</definedName>
    <definedName name="_xlnm.Print_Area" localSheetId="2">'7 pr'!$A$1:$F$60</definedName>
    <definedName name="_xlnm.Print_Area" localSheetId="3">'8 pr'!$A$1:$F$107</definedName>
    <definedName name="_xlnm.Print_Titles" localSheetId="0">'1 pr'!$7:$7</definedName>
    <definedName name="_xlnm.Print_Titles" localSheetId="4">'10 pr'!$9:$9</definedName>
    <definedName name="_xlnm.Print_Titles" localSheetId="1">'3 pr'!$9:$9</definedName>
    <definedName name="_xlnm.Print_Titles" localSheetId="2">'7 pr'!$9:$9</definedName>
    <definedName name="_xlnm.Print_Titles" localSheetId="3">'8 pr'!$9:$9</definedName>
  </definedNames>
  <calcPr calcId="152511" fullCalcOnLoad="1"/>
  <fileRecoveryPr autoRecover="0"/>
  <extLst>
    <ext xmlns:x14="http://schemas.microsoft.com/office/spreadsheetml/2009/9/main" uri="{79F54976-1DA5-4618-B147-4CDE4B953A38}">
      <x14:workbookPr/>
    </ext>
  </extLst>
</workbook>
</file>

<file path=xl/calcChain.xml><?xml version="1.0" encoding="utf-8"?>
<calcChain xmlns="http://purl.oclc.org/ooxml/spreadsheetml/main">
  <c r="E111" i="76" l="1"/>
  <c r="E120" i="76"/>
  <c r="E31" i="77"/>
  <c r="E30" i="77" s="1"/>
  <c r="E25" i="77" s="1"/>
  <c r="C19" i="75"/>
  <c r="C18" i="75" s="1"/>
  <c r="E117" i="76"/>
  <c r="E113" i="76"/>
  <c r="E115" i="76"/>
  <c r="E112" i="76"/>
  <c r="E118" i="76"/>
  <c r="E116" i="76"/>
  <c r="E121" i="76"/>
  <c r="E119" i="76"/>
  <c r="E93" i="76"/>
  <c r="F152" i="79"/>
  <c r="E152" i="79"/>
  <c r="E60" i="78"/>
  <c r="E61" i="78"/>
  <c r="E59" i="78" s="1"/>
  <c r="C38" i="75"/>
  <c r="F66" i="78"/>
  <c r="E145" i="79"/>
  <c r="E144" i="79"/>
  <c r="C73" i="75"/>
  <c r="C77" i="75"/>
  <c r="E149" i="79"/>
  <c r="E148" i="79"/>
  <c r="E99" i="79"/>
  <c r="E98" i="79" s="1"/>
  <c r="C55" i="75"/>
  <c r="E184" i="79"/>
  <c r="E183" i="79"/>
  <c r="C76" i="75"/>
  <c r="E66" i="78"/>
  <c r="E65" i="78" s="1"/>
  <c r="C35" i="75"/>
  <c r="C69" i="75"/>
  <c r="F76" i="79"/>
  <c r="E76" i="79"/>
  <c r="F75" i="79"/>
  <c r="E75" i="79"/>
  <c r="F74" i="79"/>
  <c r="E74" i="79"/>
  <c r="F73" i="79"/>
  <c r="E73" i="79"/>
  <c r="F72" i="79"/>
  <c r="E72" i="79"/>
  <c r="F71" i="79"/>
  <c r="E71" i="79"/>
  <c r="F70" i="79"/>
  <c r="E70" i="79"/>
  <c r="F69" i="79"/>
  <c r="E69" i="79"/>
  <c r="F68" i="79"/>
  <c r="E68" i="79"/>
  <c r="F67" i="79"/>
  <c r="E67" i="79"/>
  <c r="F66" i="79"/>
  <c r="E66" i="79"/>
  <c r="F65" i="79"/>
  <c r="E65" i="79"/>
  <c r="F64" i="79"/>
  <c r="E64" i="79"/>
  <c r="F63" i="79"/>
  <c r="E63" i="79"/>
  <c r="F62" i="79"/>
  <c r="E62" i="79"/>
  <c r="F61" i="79"/>
  <c r="E61" i="79"/>
  <c r="F60" i="79"/>
  <c r="E60" i="79"/>
  <c r="F59" i="79"/>
  <c r="E59" i="79"/>
  <c r="F58" i="79"/>
  <c r="E58" i="79"/>
  <c r="F57" i="79"/>
  <c r="E57" i="79"/>
  <c r="F56" i="79"/>
  <c r="E56" i="79"/>
  <c r="E54" i="79"/>
  <c r="F55" i="79"/>
  <c r="E55" i="79"/>
  <c r="E259" i="76"/>
  <c r="E235" i="76"/>
  <c r="E223" i="76"/>
  <c r="E280" i="76"/>
  <c r="E279" i="76" s="1"/>
  <c r="E102" i="76"/>
  <c r="F116" i="76"/>
  <c r="F115" i="76"/>
  <c r="F20" i="78"/>
  <c r="F22" i="78"/>
  <c r="C78" i="75"/>
  <c r="E147" i="79"/>
  <c r="E146" i="79" s="1"/>
  <c r="F21" i="78"/>
  <c r="E20" i="78"/>
  <c r="E22" i="78"/>
  <c r="E21" i="78"/>
  <c r="C27" i="75"/>
  <c r="E31" i="78"/>
  <c r="C25" i="75"/>
  <c r="C22" i="75" s="1"/>
  <c r="C21" i="75" s="1"/>
  <c r="F149" i="79"/>
  <c r="F145" i="79"/>
  <c r="F144" i="79" s="1"/>
  <c r="E43" i="78"/>
  <c r="C26" i="75"/>
  <c r="C14" i="75"/>
  <c r="C11" i="75" s="1"/>
  <c r="E85" i="76"/>
  <c r="E86" i="76"/>
  <c r="F150" i="79"/>
  <c r="E150" i="79"/>
  <c r="C61" i="75"/>
  <c r="C9" i="75"/>
  <c r="F134" i="79"/>
  <c r="E134" i="79"/>
  <c r="E133" i="79"/>
  <c r="C59" i="75"/>
  <c r="F115" i="79"/>
  <c r="E115" i="79"/>
  <c r="E114" i="79"/>
  <c r="E23" i="78"/>
  <c r="E18" i="78" s="1"/>
  <c r="F19" i="78"/>
  <c r="E19" i="78"/>
  <c r="E127" i="76"/>
  <c r="E126" i="76" s="1"/>
  <c r="E128" i="76"/>
  <c r="F24" i="76"/>
  <c r="F294" i="76"/>
  <c r="E294" i="76"/>
  <c r="E233" i="76"/>
  <c r="F257" i="76"/>
  <c r="E257" i="76"/>
  <c r="F114" i="76"/>
  <c r="E114" i="76"/>
  <c r="E246" i="76"/>
  <c r="F93" i="76"/>
  <c r="F53" i="78"/>
  <c r="E53" i="78"/>
  <c r="F48" i="78"/>
  <c r="F47" i="78" s="1"/>
  <c r="F46" i="78" s="1"/>
  <c r="E48" i="78"/>
  <c r="F43" i="78"/>
  <c r="F12" i="78"/>
  <c r="C103" i="75"/>
  <c r="F175" i="79"/>
  <c r="E175" i="79"/>
  <c r="E172" i="79" s="1"/>
  <c r="E57" i="76"/>
  <c r="C64" i="75"/>
  <c r="E88" i="79"/>
  <c r="E87" i="79"/>
  <c r="E86" i="79" s="1"/>
  <c r="E10" i="79" s="1"/>
  <c r="E166" i="79"/>
  <c r="E165" i="79"/>
  <c r="E164" i="79"/>
  <c r="F150" i="76"/>
  <c r="C90" i="75"/>
  <c r="E184" i="76"/>
  <c r="E256" i="76"/>
  <c r="E230" i="76"/>
  <c r="E99" i="76"/>
  <c r="E283" i="76"/>
  <c r="E254" i="76"/>
  <c r="E264" i="76"/>
  <c r="E296" i="76"/>
  <c r="E40" i="76"/>
  <c r="E89" i="76"/>
  <c r="E150" i="76"/>
  <c r="F35" i="76"/>
  <c r="E35" i="76"/>
  <c r="E30" i="76"/>
  <c r="E34" i="76"/>
  <c r="E17" i="76"/>
  <c r="E15" i="76"/>
  <c r="E18" i="76"/>
  <c r="E22" i="76"/>
  <c r="E149" i="76"/>
  <c r="E151" i="76"/>
  <c r="F11" i="76"/>
  <c r="E11" i="76"/>
  <c r="E21" i="76"/>
  <c r="E14" i="76"/>
  <c r="F43" i="76"/>
  <c r="F42" i="76" s="1"/>
  <c r="E43" i="76"/>
  <c r="F256" i="76"/>
  <c r="F280" i="76"/>
  <c r="F279" i="76"/>
  <c r="F301" i="76"/>
  <c r="E301" i="76"/>
  <c r="F303" i="76"/>
  <c r="E303" i="76"/>
  <c r="F304" i="76"/>
  <c r="E304" i="76"/>
  <c r="F298" i="76"/>
  <c r="E298" i="76"/>
  <c r="F296" i="76"/>
  <c r="F291" i="76"/>
  <c r="E291" i="76"/>
  <c r="F293" i="76"/>
  <c r="E293" i="76"/>
  <c r="F306" i="76"/>
  <c r="E306" i="76"/>
  <c r="E289" i="76"/>
  <c r="F261" i="76"/>
  <c r="E261" i="76"/>
  <c r="F262" i="76"/>
  <c r="E262" i="76"/>
  <c r="F263" i="76"/>
  <c r="F260" i="76"/>
  <c r="F259" i="76"/>
  <c r="F258" i="76"/>
  <c r="E258" i="76"/>
  <c r="F255" i="76"/>
  <c r="E255" i="76"/>
  <c r="F264" i="76"/>
  <c r="F254" i="76"/>
  <c r="E237" i="76"/>
  <c r="E239" i="76"/>
  <c r="F171" i="76"/>
  <c r="E171" i="76"/>
  <c r="F140" i="76"/>
  <c r="E140" i="76"/>
  <c r="F144" i="76"/>
  <c r="E144" i="76"/>
  <c r="F146" i="76"/>
  <c r="E146" i="76"/>
  <c r="F142" i="76"/>
  <c r="E142" i="76"/>
  <c r="F141" i="76"/>
  <c r="E141" i="76"/>
  <c r="F111" i="76"/>
  <c r="F118" i="76"/>
  <c r="F119" i="76"/>
  <c r="F120" i="76"/>
  <c r="F112" i="76"/>
  <c r="F113" i="76"/>
  <c r="F121" i="76"/>
  <c r="F89" i="76"/>
  <c r="F40" i="76"/>
  <c r="F278" i="76"/>
  <c r="F155" i="76"/>
  <c r="F153" i="76"/>
  <c r="F149" i="76"/>
  <c r="F152" i="76"/>
  <c r="F151" i="76"/>
  <c r="F33" i="76"/>
  <c r="F38" i="76"/>
  <c r="F31" i="76"/>
  <c r="F27" i="76"/>
  <c r="F28" i="76"/>
  <c r="F20" i="76"/>
  <c r="F23" i="76"/>
  <c r="F22" i="76"/>
  <c r="F25" i="76"/>
  <c r="F19" i="76"/>
  <c r="F21" i="76"/>
  <c r="F160" i="76"/>
  <c r="E160" i="76"/>
  <c r="F125" i="76"/>
  <c r="F124" i="76" s="1"/>
  <c r="F122" i="76" s="1"/>
  <c r="E125" i="76"/>
  <c r="E98" i="76"/>
  <c r="E97" i="76"/>
  <c r="E95" i="76"/>
  <c r="E92" i="76" s="1"/>
  <c r="E94" i="76"/>
  <c r="F74" i="78"/>
  <c r="C20" i="75"/>
  <c r="F25" i="77"/>
  <c r="F20" i="77"/>
  <c r="F21" i="77"/>
  <c r="E21" i="77"/>
  <c r="F15" i="77"/>
  <c r="F10" i="77" s="1"/>
  <c r="F58" i="77" s="1"/>
  <c r="F11" i="77"/>
  <c r="E11" i="77"/>
  <c r="F26" i="77"/>
  <c r="E26" i="77"/>
  <c r="F38" i="77"/>
  <c r="E38" i="77"/>
  <c r="F28" i="77"/>
  <c r="E28" i="77"/>
  <c r="E168" i="76"/>
  <c r="E166" i="76" s="1"/>
  <c r="E159" i="76" s="1"/>
  <c r="E103" i="79"/>
  <c r="E106" i="79"/>
  <c r="E109" i="79"/>
  <c r="E112" i="79"/>
  <c r="E107" i="79"/>
  <c r="E104" i="79"/>
  <c r="E110" i="79"/>
  <c r="E108" i="79"/>
  <c r="E113" i="79"/>
  <c r="E111" i="79"/>
  <c r="E179" i="79"/>
  <c r="E178" i="79"/>
  <c r="E177" i="79" s="1"/>
  <c r="F99" i="79"/>
  <c r="F98" i="79"/>
  <c r="E29" i="76"/>
  <c r="E24" i="76"/>
  <c r="E220" i="76"/>
  <c r="E23" i="76"/>
  <c r="C75" i="75"/>
  <c r="F31" i="78"/>
  <c r="F34" i="78"/>
  <c r="E34" i="78"/>
  <c r="E37" i="78"/>
  <c r="F40" i="78"/>
  <c r="E40" i="78"/>
  <c r="F33" i="78"/>
  <c r="E33" i="78"/>
  <c r="F35" i="78"/>
  <c r="E35" i="78"/>
  <c r="E32" i="78"/>
  <c r="E38" i="78"/>
  <c r="F36" i="78"/>
  <c r="E36" i="78"/>
  <c r="E41" i="78"/>
  <c r="F39" i="78"/>
  <c r="E39" i="78"/>
  <c r="E30" i="78"/>
  <c r="C47" i="75"/>
  <c r="E252" i="76"/>
  <c r="E216" i="76"/>
  <c r="E214" i="76"/>
  <c r="E213" i="76"/>
  <c r="E208" i="76"/>
  <c r="E207" i="76"/>
  <c r="E204" i="76"/>
  <c r="E201" i="76"/>
  <c r="E185" i="76"/>
  <c r="E169" i="76"/>
  <c r="E164" i="76"/>
  <c r="E162" i="76"/>
  <c r="E137" i="76"/>
  <c r="E135" i="76" s="1"/>
  <c r="E109" i="76"/>
  <c r="E106" i="76"/>
  <c r="E49" i="76"/>
  <c r="E48" i="76"/>
  <c r="E47" i="76" s="1"/>
  <c r="C92" i="75"/>
  <c r="C91" i="75"/>
  <c r="C89" i="75"/>
  <c r="F183" i="79"/>
  <c r="F180" i="79" s="1"/>
  <c r="F181" i="79"/>
  <c r="E181" i="79"/>
  <c r="F173" i="79"/>
  <c r="F172" i="79" s="1"/>
  <c r="E173" i="79"/>
  <c r="F170" i="79"/>
  <c r="F169" i="79" s="1"/>
  <c r="E170" i="79"/>
  <c r="E169" i="79"/>
  <c r="F167" i="79"/>
  <c r="E167" i="79"/>
  <c r="F165" i="79"/>
  <c r="F164" i="79"/>
  <c r="F160" i="79"/>
  <c r="F157" i="79" s="1"/>
  <c r="E160" i="79"/>
  <c r="F158" i="79"/>
  <c r="E158" i="79"/>
  <c r="E157" i="79" s="1"/>
  <c r="F155" i="79"/>
  <c r="F154" i="79" s="1"/>
  <c r="E155" i="79"/>
  <c r="E154" i="79"/>
  <c r="F148" i="79"/>
  <c r="F146" i="79"/>
  <c r="F139" i="79"/>
  <c r="E139" i="79"/>
  <c r="F138" i="79"/>
  <c r="F137" i="79"/>
  <c r="E137" i="79"/>
  <c r="F135" i="79"/>
  <c r="E135" i="79"/>
  <c r="F133" i="79"/>
  <c r="F116" i="79"/>
  <c r="E116" i="79"/>
  <c r="F114" i="79"/>
  <c r="F102" i="79"/>
  <c r="F100" i="79"/>
  <c r="E100" i="79"/>
  <c r="F93" i="79"/>
  <c r="E93" i="79"/>
  <c r="F90" i="79"/>
  <c r="F89" i="79"/>
  <c r="E90" i="79"/>
  <c r="E89" i="79"/>
  <c r="F87" i="79"/>
  <c r="F86" i="79"/>
  <c r="E84" i="79"/>
  <c r="E82" i="79"/>
  <c r="F82" i="79"/>
  <c r="F81" i="79"/>
  <c r="F79" i="79" s="1"/>
  <c r="F80" i="79"/>
  <c r="E79" i="79"/>
  <c r="F77" i="79"/>
  <c r="E77" i="79"/>
  <c r="F52" i="79"/>
  <c r="E52" i="79"/>
  <c r="F49" i="79"/>
  <c r="E49" i="79"/>
  <c r="E29" i="79"/>
  <c r="F41" i="79"/>
  <c r="F29" i="79" s="1"/>
  <c r="E41" i="79"/>
  <c r="F14" i="79"/>
  <c r="E14" i="79"/>
  <c r="F11" i="79"/>
  <c r="F10" i="79" s="1"/>
  <c r="E11" i="79"/>
  <c r="F102" i="78"/>
  <c r="E102" i="78"/>
  <c r="F100" i="78"/>
  <c r="E100" i="78"/>
  <c r="F87" i="78"/>
  <c r="E87" i="78"/>
  <c r="F85" i="78"/>
  <c r="E85" i="78"/>
  <c r="F83" i="78"/>
  <c r="E83" i="78"/>
  <c r="F81" i="78"/>
  <c r="E81" i="78"/>
  <c r="F80" i="78"/>
  <c r="F79" i="78" s="1"/>
  <c r="E80" i="78"/>
  <c r="E79" i="78"/>
  <c r="F77" i="78"/>
  <c r="E77" i="78"/>
  <c r="F75" i="78"/>
  <c r="E75" i="78"/>
  <c r="F73" i="78"/>
  <c r="E73" i="78"/>
  <c r="F71" i="78"/>
  <c r="E71" i="78"/>
  <c r="F69" i="78"/>
  <c r="E69" i="78"/>
  <c r="F67" i="78"/>
  <c r="E67" i="78"/>
  <c r="F65" i="78"/>
  <c r="F62" i="78"/>
  <c r="E62" i="78"/>
  <c r="F59" i="78"/>
  <c r="E47" i="78"/>
  <c r="F44" i="78"/>
  <c r="E44" i="78"/>
  <c r="E42" i="78"/>
  <c r="F42" i="78"/>
  <c r="F27" i="78"/>
  <c r="E27" i="78"/>
  <c r="F25" i="78"/>
  <c r="E25" i="78"/>
  <c r="F18" i="78"/>
  <c r="F15" i="78"/>
  <c r="E15" i="78"/>
  <c r="F13" i="78"/>
  <c r="E13" i="78"/>
  <c r="F11" i="78"/>
  <c r="F10" i="78" s="1"/>
  <c r="E11" i="78"/>
  <c r="E10" i="78" s="1"/>
  <c r="C111" i="75"/>
  <c r="C110" i="75"/>
  <c r="C109" i="75"/>
  <c r="C102" i="75" s="1"/>
  <c r="C100" i="75"/>
  <c r="C93" i="75"/>
  <c r="C84" i="75"/>
  <c r="C72" i="75"/>
  <c r="C48" i="75"/>
  <c r="C30" i="75"/>
  <c r="C28" i="75"/>
  <c r="C15" i="75"/>
  <c r="E288" i="76"/>
  <c r="E51" i="77"/>
  <c r="E138" i="76"/>
  <c r="E154" i="76"/>
  <c r="E123" i="76"/>
  <c r="E39" i="76"/>
  <c r="E19" i="76"/>
  <c r="E16" i="76"/>
  <c r="E10" i="76" s="1"/>
  <c r="E167" i="76"/>
  <c r="E300" i="76"/>
  <c r="E91" i="76"/>
  <c r="E263" i="76"/>
  <c r="E260" i="76"/>
  <c r="E278" i="76"/>
  <c r="E41" i="76"/>
  <c r="E90" i="76"/>
  <c r="E84" i="76" s="1"/>
  <c r="E88" i="76"/>
  <c r="E277" i="76"/>
  <c r="E155" i="76"/>
  <c r="E153" i="76"/>
  <c r="E152" i="76"/>
  <c r="E33" i="76"/>
  <c r="E31" i="76"/>
  <c r="E28" i="76"/>
  <c r="E27" i="76"/>
  <c r="E26" i="76"/>
  <c r="E25" i="76"/>
  <c r="E20" i="76"/>
  <c r="E13" i="76"/>
  <c r="E12" i="76"/>
  <c r="E218" i="76"/>
  <c r="F32" i="76"/>
  <c r="F10" i="76" s="1"/>
  <c r="E32" i="76"/>
  <c r="E285" i="76"/>
  <c r="E269" i="76"/>
  <c r="E224" i="76"/>
  <c r="E219" i="76"/>
  <c r="E217" i="76"/>
  <c r="E209" i="76"/>
  <c r="E205" i="76"/>
  <c r="E195" i="76" s="1"/>
  <c r="E194" i="76" s="1"/>
  <c r="E193" i="76" s="1"/>
  <c r="E192" i="76"/>
  <c r="E183" i="76"/>
  <c r="E182" i="76"/>
  <c r="E157" i="76"/>
  <c r="E156" i="76" s="1"/>
  <c r="E83" i="76"/>
  <c r="E81" i="76"/>
  <c r="E72" i="76"/>
  <c r="E71" i="76"/>
  <c r="E70" i="76"/>
  <c r="E65" i="76"/>
  <c r="E52" i="77"/>
  <c r="E48" i="77" s="1"/>
  <c r="E47" i="77" s="1"/>
  <c r="E50" i="77"/>
  <c r="E49" i="77"/>
  <c r="E45" i="77"/>
  <c r="E44" i="77"/>
  <c r="E43" i="77" s="1"/>
  <c r="E41" i="77"/>
  <c r="E40" i="77"/>
  <c r="E37" i="77" s="1"/>
  <c r="F47" i="76"/>
  <c r="F55" i="77"/>
  <c r="F54" i="77" s="1"/>
  <c r="E55" i="77"/>
  <c r="E54" i="77"/>
  <c r="F48" i="77"/>
  <c r="F47" i="77" s="1"/>
  <c r="F44" i="77"/>
  <c r="F43" i="77"/>
  <c r="F40" i="77"/>
  <c r="F37" i="77" s="1"/>
  <c r="F35" i="77"/>
  <c r="F34" i="77"/>
  <c r="E35" i="77"/>
  <c r="E34" i="77"/>
  <c r="F30" i="77"/>
  <c r="F23" i="77"/>
  <c r="E23" i="77"/>
  <c r="E20" i="77" s="1"/>
  <c r="E16" i="77"/>
  <c r="E15" i="77" s="1"/>
  <c r="E10" i="77" s="1"/>
  <c r="F300" i="76"/>
  <c r="F289" i="76"/>
  <c r="F272" i="76"/>
  <c r="F271" i="76"/>
  <c r="E272" i="76"/>
  <c r="E271" i="76"/>
  <c r="E270" i="76"/>
  <c r="F268" i="76"/>
  <c r="F266" i="76" s="1"/>
  <c r="F265" i="76" s="1"/>
  <c r="E251" i="76"/>
  <c r="F250" i="76"/>
  <c r="F242" i="76" s="1"/>
  <c r="E243" i="76"/>
  <c r="E229" i="76"/>
  <c r="E225" i="76"/>
  <c r="E199" i="76"/>
  <c r="E196" i="76"/>
  <c r="F195" i="76"/>
  <c r="F194" i="76"/>
  <c r="F193" i="76" s="1"/>
  <c r="E180" i="76"/>
  <c r="F178" i="76"/>
  <c r="F175" i="76"/>
  <c r="F172" i="76" s="1"/>
  <c r="E177" i="76"/>
  <c r="E173" i="76"/>
  <c r="F166" i="76"/>
  <c r="E163" i="76"/>
  <c r="F135" i="76"/>
  <c r="F126" i="76"/>
  <c r="F117" i="76"/>
  <c r="F105" i="76"/>
  <c r="F92" i="76"/>
  <c r="F91" i="76"/>
  <c r="F90" i="76"/>
  <c r="F88" i="76"/>
  <c r="F85" i="76"/>
  <c r="F80" i="76"/>
  <c r="F63" i="76"/>
  <c r="F59" i="76" s="1"/>
  <c r="E69" i="76"/>
  <c r="E60" i="76"/>
  <c r="E55" i="76"/>
  <c r="E36" i="76"/>
  <c r="E80" i="76"/>
  <c r="E63" i="76"/>
  <c r="E148" i="76"/>
  <c r="E105" i="76"/>
  <c r="E42" i="76"/>
  <c r="F276" i="76"/>
  <c r="F241" i="76"/>
  <c r="E268" i="76"/>
  <c r="E266" i="76" s="1"/>
  <c r="E265" i="76" s="1"/>
  <c r="E102" i="79"/>
  <c r="F54" i="79"/>
  <c r="C83" i="75"/>
  <c r="E178" i="76" l="1"/>
  <c r="E175" i="76" s="1"/>
  <c r="E172" i="76" s="1"/>
  <c r="F17" i="78"/>
  <c r="F104" i="78" s="1"/>
  <c r="F64" i="78"/>
  <c r="F29" i="78"/>
  <c r="F92" i="79"/>
  <c r="F185" i="79" s="1"/>
  <c r="E124" i="76"/>
  <c r="E122" i="76" s="1"/>
  <c r="C8" i="75"/>
  <c r="E64" i="78"/>
  <c r="C50" i="75"/>
  <c r="C17" i="75" s="1"/>
  <c r="E59" i="76"/>
  <c r="F84" i="76"/>
  <c r="F308" i="76" s="1"/>
  <c r="E250" i="76"/>
  <c r="E46" i="78"/>
  <c r="E180" i="79"/>
  <c r="E29" i="78"/>
  <c r="E17" i="78" s="1"/>
  <c r="E104" i="78" s="1"/>
  <c r="E276" i="76"/>
  <c r="E92" i="79"/>
  <c r="E185" i="79" s="1"/>
  <c r="E58" i="77"/>
  <c r="F159" i="76"/>
  <c r="F148" i="76" s="1"/>
  <c r="E242" i="76"/>
  <c r="E241" i="76" s="1"/>
  <c r="E308" i="76" l="1"/>
  <c r="C99" i="75"/>
  <c r="C101" i="75" s="1"/>
  <c r="C112" i="75" s="1"/>
</calcChain>
</file>

<file path=xl/sharedStrings.xml><?xml version="1.0" encoding="utf-8"?>
<sst xmlns="http://purl.oclc.org/ooxml/spreadsheetml/main" count="1556" uniqueCount="852">
  <si>
    <t>Eil. Nr.</t>
  </si>
  <si>
    <t>Kėdainių bendruomenės socialinis centras</t>
  </si>
  <si>
    <t>Dotnuvos slaugos namai</t>
  </si>
  <si>
    <t xml:space="preserve">Kėdainių rajono savivaldybės administracija </t>
  </si>
  <si>
    <t>Kėdainių rajono savivaldybės administracijos Dotnuvos seniūnija</t>
  </si>
  <si>
    <t>Kėdainių rajono savivaldybės administracijos Gudžiūnų seniūnija</t>
  </si>
  <si>
    <t>Kėdainių rajono savivaldybės administracijos Krakių seniūnija</t>
  </si>
  <si>
    <t>Kėdainių rajono savivaldybės administracijos Josvainių seniūnija</t>
  </si>
  <si>
    <t>Kėdainių rajono savivaldybės administracijos Kėdainių miesto seniūnija</t>
  </si>
  <si>
    <t>Kėdainių rajono savivaldybės administracijos Pelėdnagių seniūnija</t>
  </si>
  <si>
    <t>Kėdainių rajono savivaldybės administracijos Pernaravos seniūnija</t>
  </si>
  <si>
    <t>Kėdainių rajono savivaldybės administracijos Šėtos seniūnija</t>
  </si>
  <si>
    <t>Kėdainių rajono savivaldybės administracijos Surviliškio seniūnija</t>
  </si>
  <si>
    <t>Kėdainių rajono savivaldybės administracijos Truskavos seniūnija</t>
  </si>
  <si>
    <t>Kėdainių rajono savivaldybės administracijos Vilainių seniūnija</t>
  </si>
  <si>
    <t>Josvainių socialinis ir ugdymo centras</t>
  </si>
  <si>
    <t>Asignavimų valdytojas</t>
  </si>
  <si>
    <t>Iš viso</t>
  </si>
  <si>
    <t>2</t>
  </si>
  <si>
    <t>Šėtos socialinis ir ugdymo  centras</t>
  </si>
  <si>
    <t>Iš viso asignavimų</t>
  </si>
  <si>
    <t>03</t>
  </si>
  <si>
    <t>SOCIALINĖS APSAUGOS PLĖTOJIMAS</t>
  </si>
  <si>
    <t>10.04.01.01</t>
  </si>
  <si>
    <t>10.01.02.02</t>
  </si>
  <si>
    <t>11</t>
  </si>
  <si>
    <t>SAVIVALDYBĖS VALDYMO TOBULINIMAS</t>
  </si>
  <si>
    <t>Kėdainių rajono savivaldybės priešgaisrinė tarnyba</t>
  </si>
  <si>
    <t>03.02.01.01</t>
  </si>
  <si>
    <t>iš jų darbo užmokesčiui</t>
  </si>
  <si>
    <t>4</t>
  </si>
  <si>
    <t>10.04.01.40</t>
  </si>
  <si>
    <t>09</t>
  </si>
  <si>
    <t xml:space="preserve"> ŽEMĖS ŪKIO PLĖTRA IR MELIORACIJA</t>
  </si>
  <si>
    <t>11.1</t>
  </si>
  <si>
    <t>11.2</t>
  </si>
  <si>
    <t>11.3</t>
  </si>
  <si>
    <t>11.4</t>
  </si>
  <si>
    <t>01.06.01.02</t>
  </si>
  <si>
    <t>04.01.02.01</t>
  </si>
  <si>
    <t>Kėdainių r. Krakių Mikalojaus Katkaus gimnazija</t>
  </si>
  <si>
    <t>Kėdainių r. Dotnuvos pagrindinė mokykla</t>
  </si>
  <si>
    <t>Kėdainių r. Surviliškio Vinco Svirskio pagrindinė mokykla</t>
  </si>
  <si>
    <t>Kėdainių krašto muziejus</t>
  </si>
  <si>
    <t>Kėdainių kultūros centras</t>
  </si>
  <si>
    <t>Krakių kultūros centras</t>
  </si>
  <si>
    <t>Kėdainių šviesioji gimnazija</t>
  </si>
  <si>
    <t>Kėdainių kalbų mokykla</t>
  </si>
  <si>
    <t>Kėdainių muzikos  mokykla</t>
  </si>
  <si>
    <t>Akademijos kultūros centras</t>
  </si>
  <si>
    <t>Josvainių kultūros centras</t>
  </si>
  <si>
    <t>Šėtos kultūros centras</t>
  </si>
  <si>
    <t>Truskavos kultūros centras</t>
  </si>
  <si>
    <t>Kėdainių rajono savivaldybės Mikalojaus Daukšos viešoji biblioteka</t>
  </si>
  <si>
    <t>Kėdainių dailės mokykla</t>
  </si>
  <si>
    <t>Funkcijos kodas</t>
  </si>
  <si>
    <t>01</t>
  </si>
  <si>
    <t>ŠVIETIMAS IR UGDYMAS</t>
  </si>
  <si>
    <t>09.01.01.01</t>
  </si>
  <si>
    <t>09.01.02.01</t>
  </si>
  <si>
    <t>09.02.02.01</t>
  </si>
  <si>
    <t>09.02.01.01</t>
  </si>
  <si>
    <t>09.05.01.01</t>
  </si>
  <si>
    <t>09.08.01.01</t>
  </si>
  <si>
    <t>09.06.01.01</t>
  </si>
  <si>
    <t>02</t>
  </si>
  <si>
    <t>SVEIKATOS APSAUGA</t>
  </si>
  <si>
    <t>07.01.03.01</t>
  </si>
  <si>
    <t>07.02.03.01</t>
  </si>
  <si>
    <t>07.03.01.01</t>
  </si>
  <si>
    <t>07.06.01.02</t>
  </si>
  <si>
    <t>10.01.02.02
10.07.01.01
10.09.01.01</t>
  </si>
  <si>
    <t>10.02.01.02</t>
  </si>
  <si>
    <t>10.07.01.01</t>
  </si>
  <si>
    <t>10.06.01.01</t>
  </si>
  <si>
    <t>09.06.01.01
10.01.02.40
10.02.01.40</t>
  </si>
  <si>
    <t>10.01.02.40</t>
  </si>
  <si>
    <t>04</t>
  </si>
  <si>
    <t>08.01.01.03</t>
  </si>
  <si>
    <t>05</t>
  </si>
  <si>
    <t>KULTŪROS VEIKLOS PLĖTRA</t>
  </si>
  <si>
    <t>08.02.01.08</t>
  </si>
  <si>
    <t>08.02.01.01</t>
  </si>
  <si>
    <t>08.02.01.02</t>
  </si>
  <si>
    <t>08.04.01.01</t>
  </si>
  <si>
    <t>07</t>
  </si>
  <si>
    <t>INFRASTRUKTŪROS OBJEKTŲ  PRIEŽIŪRA IR PLĖTRA</t>
  </si>
  <si>
    <t>06.04.01.01</t>
  </si>
  <si>
    <t>04.05.01.02 06.04.01.01</t>
  </si>
  <si>
    <t>06.01.01.01</t>
  </si>
  <si>
    <t>08</t>
  </si>
  <si>
    <t>APLINKOS APSAUGA</t>
  </si>
  <si>
    <t xml:space="preserve">05.01.01.01
06.02.01.01                       </t>
  </si>
  <si>
    <t>05.01.01.01</t>
  </si>
  <si>
    <t xml:space="preserve">05.01.01.01  05.02.01.01
06.03.01.01                       </t>
  </si>
  <si>
    <t xml:space="preserve">05.01.01.01               </t>
  </si>
  <si>
    <t>10</t>
  </si>
  <si>
    <t>PARAMA VERSLUI IR VERSLO PLĖTRA</t>
  </si>
  <si>
    <t>04.01.01.01</t>
  </si>
  <si>
    <t>Kėdainių rajono savivaldybės kontrolės ir audito tarnyba</t>
  </si>
  <si>
    <t xml:space="preserve">Kėdainių rajono savivaldybės administracija  </t>
  </si>
  <si>
    <t>03.01.01.01</t>
  </si>
  <si>
    <t>04.05.01.01</t>
  </si>
  <si>
    <t>01.07.01.01</t>
  </si>
  <si>
    <t xml:space="preserve">10.02.01.02 </t>
  </si>
  <si>
    <t>06</t>
  </si>
  <si>
    <t>KULTŪROS PAVELDO IŠSAUGOJIMAS, TURIZMO SKATINIMAS IR VYSTYMAS</t>
  </si>
  <si>
    <t>04.07.03.01</t>
  </si>
  <si>
    <t>10.01.02.01</t>
  </si>
  <si>
    <t xml:space="preserve">                                                               ___________________________________________</t>
  </si>
  <si>
    <t>07.06.01.09</t>
  </si>
  <si>
    <t>01.01.01.09</t>
  </si>
  <si>
    <t>Kėdainių suaugusiųjų ir jaunimo mokymo centras</t>
  </si>
  <si>
    <t>Kėdainių sporto centras</t>
  </si>
  <si>
    <t xml:space="preserve">                                                                                         ___________________________</t>
  </si>
  <si>
    <t xml:space="preserve">10.06.01.01 10.07.01.01
10.09.01.09 </t>
  </si>
  <si>
    <t>3 priedas</t>
  </si>
  <si>
    <t>08.02.01.07</t>
  </si>
  <si>
    <t>7 priedas</t>
  </si>
  <si>
    <t>Eil.   Nr.</t>
  </si>
  <si>
    <t>09.02.02.01
09.05.01.01</t>
  </si>
  <si>
    <t>Kėdainių Juozo Paukštelio progimnazija</t>
  </si>
  <si>
    <t>01.06.01.04</t>
  </si>
  <si>
    <t>Remontuoti objektus pagal administracijos direktoriaus įsakymus</t>
  </si>
  <si>
    <t>Likviduoti avarinius židinius</t>
  </si>
  <si>
    <t>Remontuoti biudžetinių įstaigų kiemus</t>
  </si>
  <si>
    <t>Remontuoti viešųjų ir biudžetinių įstaigų stogus</t>
  </si>
  <si>
    <t>08.06.01.01</t>
  </si>
  <si>
    <t>07.06.01.06</t>
  </si>
  <si>
    <t>04.09.01.01</t>
  </si>
  <si>
    <t>(tūkst. Eur)</t>
  </si>
  <si>
    <t>01.01.01.02
01.01.01.09
01.03.02.09
01.06.01.02
04.05.06.09 06.06.01.01
06.06.01.09</t>
  </si>
  <si>
    <t>05.03.01.01</t>
  </si>
  <si>
    <t>08.06.01.09</t>
  </si>
  <si>
    <t xml:space="preserve">Kėdainių švietimo pagalbos tarnyba </t>
  </si>
  <si>
    <t>Kėdainių r. Akademijos gimnazija</t>
  </si>
  <si>
    <t>Kėdainių r. Josvainių gimnazija</t>
  </si>
  <si>
    <t>Kėdainių r. Labūnavos pagrindinė mokykla</t>
  </si>
  <si>
    <t>Kėdainių r. Truskavos pagrindinė mokykla</t>
  </si>
  <si>
    <t>Kėdainių r. Šėtos  gimnazija</t>
  </si>
  <si>
    <t>10.06.01.01 10.07.01.01
10.09.01.09</t>
  </si>
  <si>
    <t xml:space="preserve">09.08.01.09    </t>
  </si>
  <si>
    <t xml:space="preserve">Rengti infrastruktūros objektų tvarkymo investicinius projektus, paraiškas, kitą techninę dokumentaciją  Europos Sąjungos fondų paramai gauti </t>
  </si>
  <si>
    <t>Rekonstruoti ir plėsti Kėdainių miesto paviršinių nuotekų tinklus</t>
  </si>
  <si>
    <t>Įgyvendinti Kėdainių rajono savivaldybės bažnyčių rėmimo programą</t>
  </si>
  <si>
    <t>08.02.01.06
08.06.01.09</t>
  </si>
  <si>
    <t>08.04.01.02</t>
  </si>
  <si>
    <t xml:space="preserve">04.07.03.01. </t>
  </si>
  <si>
    <t>05.06.01.01</t>
  </si>
  <si>
    <t>05.02.01.01.</t>
  </si>
  <si>
    <t>Vykdyti savivaldybės viešųjų teritorijų tvarkymą</t>
  </si>
  <si>
    <t>Įgyvendinti priemones, finansuojamas iš Savivaldybės administracijos direktoriaus rezervo</t>
  </si>
  <si>
    <t>Kėdainių r. Miegėnų pagrindinė mokykla</t>
  </si>
  <si>
    <t>Kėdainių pagalbos šeimai centras</t>
  </si>
  <si>
    <t xml:space="preserve">                                                                  Kėdainių rajono savivaldybės tarybos</t>
  </si>
  <si>
    <t>09.05.01.01  09.05.01.02 09.05.01.03</t>
  </si>
  <si>
    <t>Atnaujinti Lietuvos sporto universiteto Kėdainių  „Aušros“ progimnaziją, kuriant modernias ir saugias erdves</t>
  </si>
  <si>
    <t xml:space="preserve">Užtikrinti socialinio būsto fondo plėtrą Kėdainiuose </t>
  </si>
  <si>
    <t xml:space="preserve">Įrengti pėsčiųjų ir dviračių takus Pramonės g. Kėdainių mieste  </t>
  </si>
  <si>
    <t>Kompleksiškai atnaujinti daugiabučių namų kvartalus (II etapas)</t>
  </si>
  <si>
    <t>Atnaujinti ir plėsti komunalinių atliekų tvarkymo infrastruktūrą Kėdainių rajono savivaldybėje</t>
  </si>
  <si>
    <t xml:space="preserve">08.02.01.07
</t>
  </si>
  <si>
    <t>06.03.01.01</t>
  </si>
  <si>
    <t>04-08</t>
  </si>
  <si>
    <t>Rekonstruoti ir plėsti vandentiekio ir buitinių nuotekų infrastruktūrą Šėtos miestelyje, Kunionių kaime bei Kėdainių mieste</t>
  </si>
  <si>
    <t>09.</t>
  </si>
  <si>
    <t>01-10</t>
  </si>
  <si>
    <t>Kėdainių lopšelis-darželis „Pasaka“</t>
  </si>
  <si>
    <t>Kėdainių lopšelis-darželis „Puriena“</t>
  </si>
  <si>
    <t>Kėdainių lopšelis-darželis „Varpelis“</t>
  </si>
  <si>
    <t>Kėdainių lopšelis-darželis „Vyturėlis“</t>
  </si>
  <si>
    <t>Kėdainių lopšelis-darželis „Žilvitis“</t>
  </si>
  <si>
    <t>Kėdainių lopšelis-darželis „Vaikystė“</t>
  </si>
  <si>
    <t>Lietuvos sporto universiteto Kėdainių „Aušros“ progimnazija</t>
  </si>
  <si>
    <t>Kėdainių „Ryto“ progimnazija</t>
  </si>
  <si>
    <t>Kėdainių „Atžalyno“ gimnazija</t>
  </si>
  <si>
    <t>Kėdainių lopšelis-darželis „Aviliukas“</t>
  </si>
  <si>
    <t>Įgyvendinti projektą „Jonavos, Kėdainių ir Raseinių rajonų savivaldybes jungiančių trasų ir turizmo maršrutų informacinės infrastruktūros plėtra“</t>
  </si>
  <si>
    <t>Teikti kompleksines paslaugas šeimai Kėdainių rajone</t>
  </si>
  <si>
    <t>Tobulinti Kėdainių sporto centro infrastruktūrą (Parko g. 4, Vilainiai)</t>
  </si>
  <si>
    <t>56.1</t>
  </si>
  <si>
    <t>56.2</t>
  </si>
  <si>
    <t>56.3</t>
  </si>
  <si>
    <t>56.5</t>
  </si>
  <si>
    <t xml:space="preserve">Kėdainių rajono savivaldybės administracija iš viso: </t>
  </si>
  <si>
    <t>10.1</t>
  </si>
  <si>
    <t>Skatinti  savivaldybės gabius mokinius</t>
  </si>
  <si>
    <t>Kėdainių rajono savivaldybės visuomenės sveikatos biuras iš viso:</t>
  </si>
  <si>
    <t xml:space="preserve">07.04.01.02 </t>
  </si>
  <si>
    <t xml:space="preserve">Vykdyti ambulatorinės akušerinės ir ginekologinės pagalbos kokybės gerinimo Kėdainių rajono savivaldybės moterims 2019-2024 m. programą </t>
  </si>
  <si>
    <t xml:space="preserve">Didinti pirminės asmens sveikatos priežiūros veiklos efektyvumą VšĮ Kėdainių pirminės sveikatos priežiūros centre </t>
  </si>
  <si>
    <t>Aktualizuoti Kėdainių krašto muziejų, padidinant kultūros paveldo aktualumą, lankomumą ir žinomumą (įskaitant ekspozicijų atnaujinimą)</t>
  </si>
  <si>
    <t>Kėdainių rajono savivaldybės administracija iš viso :</t>
  </si>
  <si>
    <t xml:space="preserve">Finansuoti žvyro įsigijimą seniūnijų keliams prižiūrėti </t>
  </si>
  <si>
    <t xml:space="preserve">Finansuoti prevencinę programą „Saugios aplinkos kūrimas ir bendruomenės teisėtvarkos kūrimas" </t>
  </si>
  <si>
    <t>15.1</t>
  </si>
  <si>
    <t>07.02.01.01</t>
  </si>
  <si>
    <t>10.06.01.40 06.01.01.01</t>
  </si>
  <si>
    <t>Gerinti pirminės asmens sveikatos priežiūros paslaugų teikimo prieinamumą tuberkuliozės srityje</t>
  </si>
  <si>
    <t xml:space="preserve">iš jų: teikti integralią pagalbą į namus Kėdainių rajone </t>
  </si>
  <si>
    <t>Kėdainių rajono savivaldybės administracija iš viso:</t>
  </si>
  <si>
    <t>Finansuoti VšĮ Kėdainių turizmo ir verslo informacijos centro turizmo veiklos programą</t>
  </si>
  <si>
    <t xml:space="preserve">Įgyvendinti priemones, skirtas kovų už Lietuvos Nepriklausomybę vietoms ir paminklams įamžinti </t>
  </si>
  <si>
    <t>Kompleksiškai sutvarkyti Kėdainių Sinagogą (Smilgos g. 5A, Kėdainiai), pritaikant kultūrinėms bei kitoms reikmėms</t>
  </si>
  <si>
    <t>Finansuoti Kėdainių miesto vietos veiklos grupės 2016–2022 m. vietos plėtros strategijos įgyvendinimą</t>
  </si>
  <si>
    <t>11.5</t>
  </si>
  <si>
    <t>Mokesčiai už valstybinius gamtos išteklius</t>
  </si>
  <si>
    <t>Kėdainių r. Vilainių mokykla-darželis „Obelėlė“</t>
  </si>
  <si>
    <t>Įgyvendinti  Kėdainių rajono savivaldybės mokytojų motyvacijos programą</t>
  </si>
  <si>
    <t>Koofinansuoti  švietimo įstaigų dalyvavimą infrastruktūros gerinimo/modernizavimo projektuose</t>
  </si>
  <si>
    <t>Finansuoti vaikų dienos centrų veiklos programas</t>
  </si>
  <si>
    <t>Pritaikyti viešąją aplinką specialiųjų poreikių turintiems gyventojams</t>
  </si>
  <si>
    <t>Finansuoti strateginių sporto šakų programas, iš jų:</t>
  </si>
  <si>
    <t>Finansuoti fizinio aktyvumo ir sporto veiklos projektus</t>
  </si>
  <si>
    <t>Užtikrinti rajono nevyriausybinių organizacijų (įskaitant bendruomenines organizacijas) plėtrą, finansuojant projektus socialinio, pilietinio, kultūros paveldo pažinimo, etninės kultūros puoselėjimo, užimtumo bei verslumo srityse</t>
  </si>
  <si>
    <t>Atnaujinti Truskavos kultūros centrą, pritaikant jį kaimo bendruomenės poreikiams bei kultūrinei veiklai</t>
  </si>
  <si>
    <t>Vykdyti atliekų tvarkymo sistemos organizavimo funkciją</t>
  </si>
  <si>
    <t>Likviduoti apleistus (bešeimininkius ar savivaldybei nuosavybės teise priklausančius) pastatus ir kitus aplinką žalojančius objektus</t>
  </si>
  <si>
    <t>Rengti projektus ir remontuoti gyvenviečių lietaus nuotekų-drenažų sistemas</t>
  </si>
  <si>
    <t>Finansuoti VšĮ Kėdainių turizmo ir verslo informacijos centro viešųjų paslaugų verslui  programą</t>
  </si>
  <si>
    <t xml:space="preserve">                                                                           Kėdainių rajono savivaldybės tarybos</t>
  </si>
  <si>
    <t>Mokėti palūkanas</t>
  </si>
  <si>
    <t xml:space="preserve">SPORTO VEIKLOS PLĖTRA </t>
  </si>
  <si>
    <t>Įgyvendinti priemones, skirtas žemo slenksčio paslaugų kokybės gerinimui Kėdainių rajono savivaldybėje</t>
  </si>
  <si>
    <t>07.06.01.05</t>
  </si>
  <si>
    <t>8</t>
  </si>
  <si>
    <t>05.02.01.01 
06.03.01.01</t>
  </si>
  <si>
    <t>05.02.01.01</t>
  </si>
  <si>
    <t>Kėdainių bokso federacijos veiklos programai</t>
  </si>
  <si>
    <t>Dalyvauti Kauno regiono plėtros agentūros veikloje</t>
  </si>
  <si>
    <t>Vykdyti endoskopinių paslaugų prieinamumo ir kokybės gerinimo Kėdainių rajono savivaldybėje 2020-2025 m. programą</t>
  </si>
  <si>
    <t>Rekonstruoti Kėdainių miesto nuotekų valyklą</t>
  </si>
  <si>
    <t>Kėdainių švietimo pagalbos tarnyba</t>
  </si>
  <si>
    <t>Kėdainių rajono savivaldybės visuomenės sveikatos biuras</t>
  </si>
  <si>
    <t xml:space="preserve">                                                                   _____________________________________                                                                                       </t>
  </si>
  <si>
    <t xml:space="preserve">09.02.01.01   </t>
  </si>
  <si>
    <t>07.04.01.02</t>
  </si>
  <si>
    <t>01.03.02.09</t>
  </si>
  <si>
    <t>8 priedas</t>
  </si>
  <si>
    <t>02.1</t>
  </si>
  <si>
    <t>02.2</t>
  </si>
  <si>
    <t>02.3</t>
  </si>
  <si>
    <t>Visuomenės psichikos sveikatos gerinimui</t>
  </si>
  <si>
    <t>Neveiksnių asmenų būklės peržiūrėjimui</t>
  </si>
  <si>
    <t>03.1</t>
  </si>
  <si>
    <t>Socialinėms paslaugoms:
Socialinei globai asmenims su sunkia negalia</t>
  </si>
  <si>
    <t xml:space="preserve"> iš jų: finansuoti dienos socialinės globos paslaugas Kėdainių socialinės globos namuose</t>
  </si>
  <si>
    <t>03.2</t>
  </si>
  <si>
    <t>Socialinėms paslaugoms:
 Socialinei priežiūrai socialinės rizikos šeimoms</t>
  </si>
  <si>
    <t>03.3</t>
  </si>
  <si>
    <t>Socialinių išmokų ir kompensacijų skaičiavimas ir mokėjimas</t>
  </si>
  <si>
    <t xml:space="preserve">10.03.01.01
10.07.01.01
10.09.01.09 </t>
  </si>
  <si>
    <t>03.4</t>
  </si>
  <si>
    <t>Išlaidoms už įsigytus produktus, mokinio reikmenis ir socialinei paramai mokiniams administruoti</t>
  </si>
  <si>
    <t>03.5</t>
  </si>
  <si>
    <t>Būsto nuomos ar išperkamosios būsto nuomos mokesčių dalies kompensacijoms</t>
  </si>
  <si>
    <t>09.1</t>
  </si>
  <si>
    <t>Žemės ūkio funkcijoms vykdyti</t>
  </si>
  <si>
    <t>04.02.01.04</t>
  </si>
  <si>
    <t>09.2</t>
  </si>
  <si>
    <t>iš jų: polderiams eksploatuoti</t>
  </si>
  <si>
    <t>04.02.01.01</t>
  </si>
  <si>
    <t>Tvarkyti erdvinių duomenų rinkinį</t>
  </si>
  <si>
    <t>04.02.01.02</t>
  </si>
  <si>
    <t>Priešgaisrinių tarnybų organizavimas</t>
  </si>
  <si>
    <t>Gyventojų registro tvarkymas ir duomenų valstybės registrui teikimas</t>
  </si>
  <si>
    <t>01.03.03.02</t>
  </si>
  <si>
    <t>Archyvinių dokumentų tvarkymas</t>
  </si>
  <si>
    <t>Civilinės būklės aktų registravimas</t>
  </si>
  <si>
    <t>Civilinės saugos organizavimas</t>
  </si>
  <si>
    <t>02.02.01.01</t>
  </si>
  <si>
    <t>11.6</t>
  </si>
  <si>
    <t>Valstybinės kalbos vartojimo ir taisyklingumo kontrolė</t>
  </si>
  <si>
    <t>11.7</t>
  </si>
  <si>
    <t>Mobilizacijos administravimas</t>
  </si>
  <si>
    <t>02.01.01.04</t>
  </si>
  <si>
    <t>11.9</t>
  </si>
  <si>
    <t>Jaunimo teisių apsauga</t>
  </si>
  <si>
    <t>11.10</t>
  </si>
  <si>
    <t>Pirminė teisinė pagalba</t>
  </si>
  <si>
    <t>11.11</t>
  </si>
  <si>
    <t>Duomenų teikimas Valstybės suteiktos pagalbos registrui</t>
  </si>
  <si>
    <t>11.12</t>
  </si>
  <si>
    <t>Gyvenamosios vietos deklaravimas</t>
  </si>
  <si>
    <t>11.13</t>
  </si>
  <si>
    <t>Užimtumo didinimo programos įgyvendinimas</t>
  </si>
  <si>
    <t xml:space="preserve">                                                                                               ________________________________</t>
  </si>
  <si>
    <t>Vykdyti aplinkos apsaugos rėmimo specialiąją programą (pridedama 13 priedas)</t>
  </si>
  <si>
    <t>Vykdyti mamografijos paslaugų tęstinumo, kokybės gerinimo Kėdainių rajono savivaldybėje 2020-2025 m. programą</t>
  </si>
  <si>
    <t>09.02.01.01
09.02.02.01</t>
  </si>
  <si>
    <t xml:space="preserve"> 09.05.01.03</t>
  </si>
  <si>
    <t>Kėdainių rajono savivaldybės 2021 m. valstybei nuosavybės teise priklausančių melioracijos statinių priežiūrai ir remonto darbams įskaitant priešprojektinius tyrinėjimus, techninės sąmatinės dokumentacijos sudarymą, ekspertizę, darbų techninę priežiūrą bei kitus susijusius darbus</t>
  </si>
  <si>
    <t>Vykdyti VšĮ Kėdainių ligoninės dantų protezavimo  programą</t>
  </si>
  <si>
    <t xml:space="preserve">Vykdyti Kėdainių rajono tuberkuliozės prevencijos, ankstyvosios diagnostikos, gydymo ir kontrolės 2017–2022 m. programą </t>
  </si>
  <si>
    <t>Vykdyti pirminės asmens sveikatos priežiūros paslaugų prieinamumo ir kokybės užtikrinimo Kėdainių rajono kaimiškųjų vietovių gyventojams 2017–2023 m. programą</t>
  </si>
  <si>
    <t xml:space="preserve">Finansuoti vaikų vasaros stovyklų ir kitų neformaliojo vaikų švietimo veiklų programas  </t>
  </si>
  <si>
    <t>Vykdyti Ultragarsinių diagnostinių paslaugų teikimo efektyvumo gerinimo Kėdainių rajono savivaldybėje 2017–2022 m. programą</t>
  </si>
  <si>
    <t>Finansuoti dienos socialinės globos paslaugų teikimą Kėdainių socialinės globos namuose</t>
  </si>
  <si>
    <t>Teikti vienkartinę išmoką gimus vaikui Lietuvos Respublikos teritorijoje ir gyvenančiam Kėdainių rajono savivaldybėje</t>
  </si>
  <si>
    <t>Užtikrinti paslaugų teikimą VšĮ "Gyvenimo namai sutrikusio intelekto asmenims"</t>
  </si>
  <si>
    <t xml:space="preserve">Finansuoti Vaikų mokymo plaukti veiklos programą, dalyvaujant projekte „Mokėk plaukti ir saugiau elgtis vandenyje“ </t>
  </si>
  <si>
    <t xml:space="preserve">iš jų: dalyvauti projekte „Inovacijų keliu per buvusios LDK žemes“ </t>
  </si>
  <si>
    <t>Sudaryti saugias ugdymo sąlygas įstaigose, vykdančiose ugdymo programas</t>
  </si>
  <si>
    <t>Įrengti vėdinimo  ir kondicionavimo sistemas savivaldybės ugdymo įstaigose</t>
  </si>
  <si>
    <t>Plėtoti bendruomeninių vaikų globos namų ir vaikų dienos centrų tinklą Kėdainių rajono savivaldybėje</t>
  </si>
  <si>
    <t>Atnaujinti ir (arba) plėsti bendruomeninę fizinio aktyvumo infrastruktūrą  mieste ir rajone, pritaikant ją bendruomenės poreikiams bei laisvalaikiui</t>
  </si>
  <si>
    <t>Finansuoti Kėdainių rajono vietos veiklos grupės teritorijos vietos plėtros 2015-2023 m. strategijos įgyvendinimą</t>
  </si>
  <si>
    <t xml:space="preserve">Remontuoti Akademijos kultūros centrą </t>
  </si>
  <si>
    <t xml:space="preserve">Parengti projektus ir remontuoti koplytėles, koplytstulpius, skulptūras, kapinaites  ir kapus   </t>
  </si>
  <si>
    <t>Atlikti Paberžės klebonijos ir svirno restauravimo ir remonto darbus</t>
  </si>
  <si>
    <t>Įrengti  valstybinės reikšmės kelių nuorodas į savivaldybės kultūros paveldo objektus</t>
  </si>
  <si>
    <t>Atlikti kultūros paveldo objektų ar objektų, esančių kultūros paveldo teritorijų prieigose tvarkybos darbus seniūnijose</t>
  </si>
  <si>
    <t xml:space="preserve">Rengti nekilnojamųjų kultūros paveldo objektų, vietovių  individualius apsaugos reglamentus </t>
  </si>
  <si>
    <t>Parengti Nekilnojamųjų kultūros vertybių vertinimo medžiagą ir pristatyti nekilnojamojo kultūros paveldo vertinimo tarybai</t>
  </si>
  <si>
    <t>Parengti Kėdainių rajono atsinaujinančių energijos išteklių plėtros  planą</t>
  </si>
  <si>
    <t>Rekonstruoti Akademijos  nuotekų valyklą</t>
  </si>
  <si>
    <t xml:space="preserve">Įrengti biologinius ar individualius  nuotekų valymo įrenginius </t>
  </si>
  <si>
    <t>Parengti buitinių nuotekų tinklų išplėtimo Pavermenio kaime techninį projektą ir atlikti darbus</t>
  </si>
  <si>
    <t>Įgyvendinti projektą "Kėdainių gatvių apšvietimo modernizavimas"</t>
  </si>
  <si>
    <t xml:space="preserve">Įgyvendinti projektą "Kėdainių miesto A. Kanapinsko, P. Lukšio, Mindaugo, Pavasario ir Žemaitės gatvių rekonstrukcija"     </t>
  </si>
  <si>
    <t>32.1</t>
  </si>
  <si>
    <t>32.2</t>
  </si>
  <si>
    <t>32.3</t>
  </si>
  <si>
    <t>32.4</t>
  </si>
  <si>
    <t>32.5</t>
  </si>
  <si>
    <t>32.5.1</t>
  </si>
  <si>
    <t>32.5.2</t>
  </si>
  <si>
    <t>32.5.3</t>
  </si>
  <si>
    <t>32.5.4</t>
  </si>
  <si>
    <t>32.5.5</t>
  </si>
  <si>
    <t>32.5.6</t>
  </si>
  <si>
    <t>35.1</t>
  </si>
  <si>
    <t>35.2</t>
  </si>
  <si>
    <t>35.3</t>
  </si>
  <si>
    <t>35.4</t>
  </si>
  <si>
    <t>35.5</t>
  </si>
  <si>
    <t>35.6</t>
  </si>
  <si>
    <t>35.7</t>
  </si>
  <si>
    <t>35.8</t>
  </si>
  <si>
    <t>35.9</t>
  </si>
  <si>
    <t>35.10</t>
  </si>
  <si>
    <t>35.11</t>
  </si>
  <si>
    <t>35.12</t>
  </si>
  <si>
    <t>35.13</t>
  </si>
  <si>
    <t>35.14</t>
  </si>
  <si>
    <t>42.1</t>
  </si>
  <si>
    <t>42.2</t>
  </si>
  <si>
    <t>42.3</t>
  </si>
  <si>
    <t>42.4</t>
  </si>
  <si>
    <t>42.5</t>
  </si>
  <si>
    <t>42.6</t>
  </si>
  <si>
    <t>42.7</t>
  </si>
  <si>
    <t>42.8</t>
  </si>
  <si>
    <t>42.9</t>
  </si>
  <si>
    <t>42.10</t>
  </si>
  <si>
    <t>42.11</t>
  </si>
  <si>
    <t>42.12</t>
  </si>
  <si>
    <t>56.4</t>
  </si>
  <si>
    <t>13.1</t>
  </si>
  <si>
    <t>2.1</t>
  </si>
  <si>
    <t>Kėdainių krašto muziejus iš viso:</t>
  </si>
  <si>
    <t>06.04.01.01.</t>
  </si>
  <si>
    <t>04.03.07.01</t>
  </si>
  <si>
    <t>Grąžinti valstybės biudžeto lėšas (dotaciją)</t>
  </si>
  <si>
    <t>Kėdainių rajono savivaldybės administracija</t>
  </si>
  <si>
    <t xml:space="preserve"> 09.05.01.01</t>
  </si>
  <si>
    <t>iš jų: užimtumo didinimo programai įgyvendinti</t>
  </si>
  <si>
    <t>01.03.02.09
04.01.02.01</t>
  </si>
  <si>
    <t>01.1</t>
  </si>
  <si>
    <t>01.2</t>
  </si>
  <si>
    <t>01.3</t>
  </si>
  <si>
    <t>05.2</t>
  </si>
  <si>
    <t>05.1</t>
  </si>
  <si>
    <t>iš jų: modernizuoti Kėdainių krašto muziejaus Daugiakultūrio centrą</t>
  </si>
  <si>
    <t>09.08.01.09</t>
  </si>
  <si>
    <t>08.1</t>
  </si>
  <si>
    <t>Koordinuotai teikiamų paslaugų vaikams nuo gimimo iki 18 metų (turintiems didelių ir labai didelių specialiųjų ugdymosi poreikių − iki 21 metų) ir vaiko atstovams koordinavimas</t>
  </si>
  <si>
    <t>11.14</t>
  </si>
  <si>
    <t>01.08.01.02</t>
  </si>
  <si>
    <t>Kita dotacija neformaliajam vaikų švietimui</t>
  </si>
  <si>
    <t>Kita dotacija akredituotai vaikų dienos socialinei priežiūrai organizuoti</t>
  </si>
  <si>
    <t>Rekonstruoti Kėdainių rajono savivaldybės kultūros centro pastatą Kėdainiuose, J. Basanavičiaus g. 24</t>
  </si>
  <si>
    <t>04.1</t>
  </si>
  <si>
    <t xml:space="preserve">                                                                      Kėdainių rajono savivaldybės tarybos</t>
  </si>
  <si>
    <t>05.3</t>
  </si>
  <si>
    <t xml:space="preserve">                                                 1 priedas</t>
  </si>
  <si>
    <t xml:space="preserve">             Pajamų pavadinimas</t>
  </si>
  <si>
    <t>Suma (tūkst. Eur)</t>
  </si>
  <si>
    <t xml:space="preserve">Gyventojų pajamų mokestis </t>
  </si>
  <si>
    <t>Žemės mokestis</t>
  </si>
  <si>
    <t>Paveldimo turto mokestis</t>
  </si>
  <si>
    <t>Nekilnojamojo turto mokestis</t>
  </si>
  <si>
    <t>Mokestis už aplinkos teršimą</t>
  </si>
  <si>
    <t>Dotacija savivaldybėms iš Europos Sąjungos, kitos tarptautinės finansinės paramos ir bendrojo finansavimo lėšų einamiesiems tikslams</t>
  </si>
  <si>
    <t>Dotacija savivaldybėms iš Europos Sąjungos, kitos tarptautinės finansinės paramos ir bendrojo finansavimo lėšų turtui įsigyti</t>
  </si>
  <si>
    <t xml:space="preserve">     dalyvauti rengiant ir vykdant mobilizaciją</t>
  </si>
  <si>
    <t xml:space="preserve">     valstybinės kalbos vartojimo ir taisyklingumo kontrolei</t>
  </si>
  <si>
    <t xml:space="preserve">     socialinėms išmokoms ir kompensacijoms skaičiuoti ir mokėti </t>
  </si>
  <si>
    <t xml:space="preserve">     socialinei paramai mokiniams </t>
  </si>
  <si>
    <t xml:space="preserve">     socialinėms paslaugoms</t>
  </si>
  <si>
    <t xml:space="preserve">     jaunimo teisių apsaugai</t>
  </si>
  <si>
    <t xml:space="preserve">     būsto nuomos ar išperkamosios būsto nuomos mokesčių dalies kompensacijoms</t>
  </si>
  <si>
    <t xml:space="preserve">     užimtumo didinimo programai įgyvendinti</t>
  </si>
  <si>
    <t xml:space="preserve">     civilinės būklės aktams registruoti</t>
  </si>
  <si>
    <t xml:space="preserve">     valstybės garantuojamai pirminei teisinei pagalbai teikti</t>
  </si>
  <si>
    <t xml:space="preserve">     gyventojų registrui tvarkyti ir duomenims valstybės registrams teikti</t>
  </si>
  <si>
    <t xml:space="preserve">     civilinei saugai</t>
  </si>
  <si>
    <t xml:space="preserve">     priešgaisrinei saugai</t>
  </si>
  <si>
    <t xml:space="preserve">     gyvenamosios vietos deklaravimo duomenų ir gyvenamosios vietos neturinčių asmenų apskaitos duomenims tvarkyti</t>
  </si>
  <si>
    <t xml:space="preserve">     žemės ūkio funkcijoms atlikti</t>
  </si>
  <si>
    <t xml:space="preserve">     melioracijai</t>
  </si>
  <si>
    <t xml:space="preserve">     erdvinių duomenų rinkinio tvarkymui</t>
  </si>
  <si>
    <t xml:space="preserve">     savivaldybėms priskirtiems archyviniems dokumentams tvarkyti</t>
  </si>
  <si>
    <t xml:space="preserve">     duomenų teikimas Valstybės suteiktos pagalbos registrui</t>
  </si>
  <si>
    <t xml:space="preserve">     neveiksnių asmenų būklės peržiūrėjimui</t>
  </si>
  <si>
    <t xml:space="preserve">     savižudžių prevencijos priemonių įgyvendinimui</t>
  </si>
  <si>
    <t>Kita tikslinė dotacija, iš jos:</t>
  </si>
  <si>
    <t>14.1</t>
  </si>
  <si>
    <t xml:space="preserve">     mokyklos specialiųjų ugdymosi poreikių turintiems mokiniams</t>
  </si>
  <si>
    <t>Kitos dotacijos, iš jų:</t>
  </si>
  <si>
    <t xml:space="preserve">      valstybės biudžeto lėšos, skirtos neformaliajam vaikų švietimui </t>
  </si>
  <si>
    <t>Dividendai</t>
  </si>
  <si>
    <t xml:space="preserve">Nuomos mokestis už valstybinę žemę ir valstybinio vidaus  vandenų fondo vandens telkinius  </t>
  </si>
  <si>
    <t>Mokesčiai už medžiojamųjų gyvūnų išteklius</t>
  </si>
  <si>
    <t>Pajamos už prekes ir paslaugas</t>
  </si>
  <si>
    <t>Pajamos už ilgalaikio ir trumpalaikio materialiojo turto nuomą</t>
  </si>
  <si>
    <t xml:space="preserve">Įmokos už išlaikymą švietimo, socialinės apsaugos ir kitose  įstaigose </t>
  </si>
  <si>
    <t>Valstybės rinkliava</t>
  </si>
  <si>
    <t>Vietinė rinkliava</t>
  </si>
  <si>
    <t>Pajamos iš baudų ir konfiskacijos</t>
  </si>
  <si>
    <t>Kitos neišvardytos pajamos</t>
  </si>
  <si>
    <t>Materialiojo ir nematerialiojo turto realizavimo pajamos</t>
  </si>
  <si>
    <t>FINANSINIŲ ĮSIPAREIGOJIMŲ PRISIĖMIMO (SKOLINIMOSI) PAJAMOS</t>
  </si>
  <si>
    <t xml:space="preserve">Biudžeto apyvartos </t>
  </si>
  <si>
    <t>Prekių ir paslaugų</t>
  </si>
  <si>
    <t>Ilgalaikio ir trumpalaikio materialiojo turto nuomos</t>
  </si>
  <si>
    <t>Įmokų už išlaikymą švietimo, socialinės apsaugos ir kitose įstaigose</t>
  </si>
  <si>
    <t xml:space="preserve">Aplinkos apsaugos rėmimo programos apyvartos </t>
  </si>
  <si>
    <t>Pajamų už vietinę rinkliavą</t>
  </si>
  <si>
    <t>Pajamų už parduotą turtą</t>
  </si>
  <si>
    <t>Dotacija savivaldybėms iš Europos Sąjungos, kitos tarptautinės finansinės paramos ir bendrojo finansavimo lėšų turtui įsigyti iš jų:</t>
  </si>
  <si>
    <t>IŠ VISO (34+35)</t>
  </si>
  <si>
    <t>________________________________________________</t>
  </si>
  <si>
    <t>Įrengti medicinos punktą Langakių kaime</t>
  </si>
  <si>
    <t>32.5.7</t>
  </si>
  <si>
    <t xml:space="preserve">                                                                 Kėdainių rajono savivaldybės tarybos</t>
  </si>
  <si>
    <t>09.02.01.01
09.02.02.01 
09.05.01.01
09.05.01.02</t>
  </si>
  <si>
    <t>Kita dotacija išlaidoms, susijusioms su ugdymu, maitinimu ir pavėžėjimu socialinę riziką patiriantiems vaikams ikimokykliniame ugdyme</t>
  </si>
  <si>
    <t>Kita dotacija „Sosnovskio barsčio naikinimas Kėdainių rajone“</t>
  </si>
  <si>
    <t>16.1</t>
  </si>
  <si>
    <t>Kėdainių „Spindulio“ mokykla</t>
  </si>
  <si>
    <t>KĖDAINIŲ RAJONO SAVIVALDYBĖS 2022 METŲ BIUDŽETO ASIGNAVIMAI  SAVARANKIŠKOMS FUNKCIJOMS ATLIKTI</t>
  </si>
  <si>
    <t xml:space="preserve">KĖDAINIŲ RAJONO SAVIVALDYBĖS 2022 METŲ BIUDŽETO ASIGNAVIMAI PROJEKTAMS FINANSUOTI EUROPOS SĄJUNGOS LĖŠOMIS </t>
  </si>
  <si>
    <t>2022 METŲ VALSTYBĖS BIUDŽETO SPECIALIOS TIKSLINĖS DOTACIJOS SAVIVALDYBĖS BIUDŽETUI VALSTYBINĖMS (VALSTYBĖS PERDUOTOMS SAVIVALDYBEI) FUNKCIJOMS ATLIKTI ASIGNAVIMAI</t>
  </si>
  <si>
    <t xml:space="preserve">2022 METŲ VALSTYBĖS BIUDŽETO SPECIALIOS TIKSLINĖS DOTACIJOS SAVIVALDYBĖS BIUDŽETUI KITI ASIGNAVIMAI </t>
  </si>
  <si>
    <t>Progra- mos kodas</t>
  </si>
  <si>
    <t>10 priedas</t>
  </si>
  <si>
    <t xml:space="preserve">                                                    Kėdainių rajono savivaldybės tarybos</t>
  </si>
  <si>
    <t>iš jų: Dalyvauti akcijoje "Žydų kelias"</t>
  </si>
  <si>
    <t>iš jų: vykdyti socialinės paramos 2022 m. programą</t>
  </si>
  <si>
    <t>Kėdainių rajono savivaldybės 2022 m. biudžeto asignavimai investicijų projektams ir remonto darbams finansuoti pagal objektus:</t>
  </si>
  <si>
    <t>Remontuoti Kėdainių „Ryto“ progimnaziją, kuriant šiuolaikines mokymosi erdves</t>
  </si>
  <si>
    <t>Atnaujinti Kėdainių muzikos mokyklos pastato fasadą, laiptus į rūsį</t>
  </si>
  <si>
    <t>Parengti bendrojo ir ikimokyklinio ugdymo įstaigų (skyrių) pastatų modernizavimo technines dokumentacijas ir atlikti darbus</t>
  </si>
  <si>
    <t xml:space="preserve">Modernizuoti Kėdainių šviesiosios gimnazijos pastatą Kėdainiuose, Didžioji g. 60 </t>
  </si>
  <si>
    <t>Vykdyti E. sveikatos informacinės sistemos diegimo,  palaikymo ir tobulinimo VšĮ PSPC  ir VšĮ Kėdainių ligoninėje 2022 -2026 m. programą</t>
  </si>
  <si>
    <t>Vykdyti trūkstamos sveikatos priežiūros specialistų skatinimo dirbti Kėdainių rajono savivaldybės viešosiose asmens priežiūros įstaigose 2022-2026 m. programą</t>
  </si>
  <si>
    <t>Diegti pacientų eilių valdymo sistemą Kėdainių rajono asmens sveikatos priežiūros įstaigose</t>
  </si>
  <si>
    <t>Vykdyti anestezijos paslaugų vaikams ir suaugusiesiems kokybės gerinimo Kėdainių rajono savivaldybėje 2022-2027 m. programą</t>
  </si>
  <si>
    <t>Vykdyti rentgeno paslaugų atnaujinimo, kokybės gerinimo Kėdainių rajono savivaldybėje 2022-2027 m. programą</t>
  </si>
  <si>
    <t xml:space="preserve">Vykdyti tinkamų ir saugių darbo sąlygų užtikrinimo, įrengiant vėdinimo bei kondicionavimo sistemas VšĮ PSPC 2022-2026 m. programą  </t>
  </si>
  <si>
    <t>Organizuoti  nemokamą socialiai remtinų vaikų maitinimą ikimokyklinėse įstaigose</t>
  </si>
  <si>
    <t>Kompensuoti nemokamo mokinių maitinimo kainą bendrojo lavinimo mokyklose</t>
  </si>
  <si>
    <t xml:space="preserve">Organizuoti socialinės reabilitacijos paslaugų neįgaliesiems bendruomenėje projektų konkursus </t>
  </si>
  <si>
    <t>Dengti kainų skirtumą gyventojams už šildymą</t>
  </si>
  <si>
    <t>Kompensuoti  karšto ir šalto vandens pardavimo kainą socialiai remtiniems  asmenims</t>
  </si>
  <si>
    <t>Kompensuoti kelionės išlaidas už lengvatinį keleivių vežimą</t>
  </si>
  <si>
    <t xml:space="preserve">Remontuoti savivaldybės ir socialinį būstą </t>
  </si>
  <si>
    <t xml:space="preserve">VšĮ "Veržlusis Nevėžis" krepšinio komandos Kėdainių "Nevėžis - Optibet" veiklos programai </t>
  </si>
  <si>
    <t>VšĮ „Sporto perspektyvos“ veiklos programai</t>
  </si>
  <si>
    <t>VšĮ „Sporto perspektyvos“ vaikų ir jaunimo futbolo plėtros veiklos programai</t>
  </si>
  <si>
    <t>Atnaujinti Kėdainių sporto centro bazes</t>
  </si>
  <si>
    <t xml:space="preserve">Atnaujinti Kėdainių miesto ir rajono progimnazijų ir gimnazijų stadionus /sporto aikštynus  </t>
  </si>
  <si>
    <t>Sudaryti sąlygas bendruomeninių organizacijų veiklai</t>
  </si>
  <si>
    <t>Skatinti nevyriausybinių organizacijų, bendruomeninių organizacijų plėtrą rajone</t>
  </si>
  <si>
    <t xml:space="preserve">Kita dotacija 2022 metais biudžetinių įstaigų vadovaujančių darbuotojų minimaliems pareiginės algos koeficientams padidinti, siekiant gerinti jų darbo apmokėjimo sąlygas </t>
  </si>
  <si>
    <t xml:space="preserve"> </t>
  </si>
  <si>
    <t>Kompleksiškai sutvarkyti ir pritaikyti bendruomenei ir verslui Kėdainių miesto viešąsias erdves (miesto parko, universalaus daugiafunkcio aikštyno prieigos)</t>
  </si>
  <si>
    <t>Atlikti archeologinius ir kitus tyrinėjimus kultūros paveldo teritorijose, vykdyti paveldo objektams parengtų tvarkybos projektų ekspertizę, parengti sąmatas</t>
  </si>
  <si>
    <t>Remontuoti Minareto fasadą</t>
  </si>
  <si>
    <t>Atlikti Bakainių piliakalnio su priešpiliu ir papiliu, priešpilio tvarkybos darbus</t>
  </si>
  <si>
    <t xml:space="preserve">Įgyvendinti dalyvaujamojo biudžeto iniciatyvų projektus "Justinavos pliažas" ir "Tako iki kabančio tilto per Nevėžį Surviliškyje sutvarkymas" </t>
  </si>
  <si>
    <t xml:space="preserve">Parengti projektus ir atnaujinti hidrotechninius įrenginius </t>
  </si>
  <si>
    <t>Teikti finansinę paramą verslą pradedantiems ar sunkumų patiriantiems SVV subjektams Kėdainių rajone per Savivaldybės smulkiojo verslo rėmimo fondą</t>
  </si>
  <si>
    <t xml:space="preserve">Kompensuoti UAB "Kėdbusas" nuostolingus  maršrutus </t>
  </si>
  <si>
    <t xml:space="preserve">Įgyvendinti priemones, finansuojamas iš Savivaldybės mero fondo </t>
  </si>
  <si>
    <t>Rengti specialiuosius, bendruosius, detaliuosius, geodezinius planus bei  topografines nuotraukas</t>
  </si>
  <si>
    <t xml:space="preserve">Atlikti turto inventorizavimą, teisinę registraciją, parengti  dokumentus turto pardavimui  </t>
  </si>
  <si>
    <t>Išplėsti  buitinių  nuotekų tinklus Labūnavos gyvenvietėje, Nevėžio g, ir Vainikų g.</t>
  </si>
  <si>
    <t xml:space="preserve">Suprojektuoti ir įrengti inžinerinius tinklus Kėdainių miesto vakariniame kvartale </t>
  </si>
  <si>
    <t xml:space="preserve">Plėsti vandentiekio ir nuotekų tinklus Šlapaberžės kaime </t>
  </si>
  <si>
    <t xml:space="preserve">Išplėsti vandentiekio ir nuotekų tinklus Lipliūnų k. Greisupio g. </t>
  </si>
  <si>
    <t>Parengti vandentiekio ir nuotekų tinklų įrengimo  Krakių miestelio Klaipėdos, Lauko, Neries, Miško  ir P.Lukšio gatvėse techninę dokumentaciją ir atlikti darbus</t>
  </si>
  <si>
    <t>Parengti vandentiekio ir nuotekų tinklų išplėtimo Angirių k. techninę dokumentaciją ir atlikti darbus</t>
  </si>
  <si>
    <t>Įrengti vandens gręžinį ir vandentiekio tinklus Gineitų k., Vilainių sen.</t>
  </si>
  <si>
    <t>Parengti nuotekų tinklų įrengimo Josvainių mstl. P.Cvirkos g. projektą</t>
  </si>
  <si>
    <t>Finansuoti inžinerines paslaugas, darbus ir įrengimus</t>
  </si>
  <si>
    <t>Apmokėti Europos Sąjungos projektų,  kuriems taikomas apmokėjimas kompensavimo būdu, išlaidas</t>
  </si>
  <si>
    <t>01.06.01.03</t>
  </si>
  <si>
    <t>Valstybinės žemės ir kito valstybinio turto valdymas, naudojimas ir disponavimas juo patikėjimo teise</t>
  </si>
  <si>
    <t>Kita dotacija savivaldybės viešajai bibliotekai dokumentams 2022 metais įsigyti</t>
  </si>
  <si>
    <t xml:space="preserve"> MOKESČIAI (2+3+4+8)</t>
  </si>
  <si>
    <t>Gyventojų pajamų mokestis, mokamas už pajamas, gautas iš veiklos, kuria verčiamasi turint verslo liudijimą</t>
  </si>
  <si>
    <t>Turto mokesčiai (5+6+7)</t>
  </si>
  <si>
    <t>Prekių ir paslaugų mokesčiai (9)</t>
  </si>
  <si>
    <t>DOTACIJOS (11+12+16)</t>
  </si>
  <si>
    <t>Dotacija savivaldybėms iš Europos Sąjungos, kitos tarptautinės finansinės paramos ir bendrojo finansavimo lėšų (11.1+11.2 )</t>
  </si>
  <si>
    <t>Speciali tikslinė dotacija (13+14+15), iš jos:</t>
  </si>
  <si>
    <t>Valstybinėms (perduotoms savivaldybėms) funkcijoms atlikti, iš jos:</t>
  </si>
  <si>
    <t>13.2</t>
  </si>
  <si>
    <t>13.3</t>
  </si>
  <si>
    <t>13.4</t>
  </si>
  <si>
    <t>13.5</t>
  </si>
  <si>
    <t>13.6</t>
  </si>
  <si>
    <t>13.7</t>
  </si>
  <si>
    <t>13.8</t>
  </si>
  <si>
    <t>13.9</t>
  </si>
  <si>
    <t>13.10</t>
  </si>
  <si>
    <t>13.11</t>
  </si>
  <si>
    <t>13.12</t>
  </si>
  <si>
    <t>13.13</t>
  </si>
  <si>
    <t>13.14</t>
  </si>
  <si>
    <t>13.15</t>
  </si>
  <si>
    <t>13.16</t>
  </si>
  <si>
    <t>13.17</t>
  </si>
  <si>
    <t xml:space="preserve">     savivaldybei priskirtai valstybinei žemei ir kitam valstybės turtui valdyti, naudoti ir disponuoti juo patikėjimo teise</t>
  </si>
  <si>
    <t>13.18</t>
  </si>
  <si>
    <t>13.19</t>
  </si>
  <si>
    <t>13.20</t>
  </si>
  <si>
    <t>13.21</t>
  </si>
  <si>
    <t xml:space="preserve">     sveikos gyvensenos plėtojimui ir stiprinimui, visuomenės sveikatos stebėsenai</t>
  </si>
  <si>
    <t>13.22</t>
  </si>
  <si>
    <t>13.23</t>
  </si>
  <si>
    <t>13.24</t>
  </si>
  <si>
    <t xml:space="preserve">     koordinuotai teikiamų paslaugų vaikams nuo gimimo iki 18 metų (turintiems didelių ir labai didelių specialiųjų ugdymosi poreikių − iki 21 metų) ir vaiko atstovams </t>
  </si>
  <si>
    <t>Ugdymo reikmėms finansuoti</t>
  </si>
  <si>
    <t>16.2</t>
  </si>
  <si>
    <t>16.3</t>
  </si>
  <si>
    <t xml:space="preserve">     valstybės biudžeto lėšos, skirtos užtikrinti 2022 m. ugdymo, maitinimo ir pavėžėjimo lėšas socialinę riziką patiriantiems vaikams ikimokykliniame ugdyme</t>
  </si>
  <si>
    <t>16.4</t>
  </si>
  <si>
    <t xml:space="preserve">      savivaldybės viešajai bibliotekai dokumentams 2022 metais įsigyti</t>
  </si>
  <si>
    <t>16.5</t>
  </si>
  <si>
    <t xml:space="preserve">      valstybės biudžeto lėšos, skirtos 2022 m. akredituotai vaikų dienos socialinei priežiūrai organizuoti, teikti ir administruoti</t>
  </si>
  <si>
    <t>16.6</t>
  </si>
  <si>
    <t>16.7</t>
  </si>
  <si>
    <t xml:space="preserve">      valstybės biudžeto lėšos, skirtos 2022 metais biudžetinių įstaigų vadovaujančių darbuotojų minimaliems pareiginės algos koeficientams padidinti, siekiant gerinti jų darbo apmokėjimo sąlygas </t>
  </si>
  <si>
    <t>KITOS PAJAMOS (18+23+27+30+31+32)</t>
  </si>
  <si>
    <t>Turto pajamos (19+20+21+22)</t>
  </si>
  <si>
    <t>Pajamos už prekes ir paslaugas (24+25+26)</t>
  </si>
  <si>
    <t>Rinkliavos (28+29 )</t>
  </si>
  <si>
    <t xml:space="preserve">                                       IŠ VISO PAJAMŲ IR DOTACIJŲ (1+10+17)</t>
  </si>
  <si>
    <t>IŠ VISO (33+34)</t>
  </si>
  <si>
    <t>2021 METŲ NEPANAUDOTOS BIUDŽETO PAJAMOS, IŠ JŲ:</t>
  </si>
  <si>
    <t>16.8</t>
  </si>
  <si>
    <t xml:space="preserve"> Finansuoti Kėdainių rajono moterų krizių centro  veiklos programą</t>
  </si>
  <si>
    <t>Įrengti, rekonstruoti, išplėsti vandentiekio ir/ar nuotekų tinklus Kėdainių mieste (Algirdo g., Parakinės g., Rūtų g., Pievų g., Šviesos g.)</t>
  </si>
  <si>
    <t>iš jų: aprūpinti ikimokyklinio ugdymo įstaigų sveikatos kabinetus metodinėmis priemonėmis</t>
  </si>
  <si>
    <t>Kita dotacija valstybės investicijų 2022 m. programoje numatytoms kapitalo investicijoms</t>
  </si>
  <si>
    <t>6.1</t>
  </si>
  <si>
    <t>8.1</t>
  </si>
  <si>
    <t>10.2</t>
  </si>
  <si>
    <t>12.1</t>
  </si>
  <si>
    <t xml:space="preserve">10.01.02.02
</t>
  </si>
  <si>
    <t>01.4</t>
  </si>
  <si>
    <t>01.5</t>
  </si>
  <si>
    <t>2.2</t>
  </si>
  <si>
    <t>35.15</t>
  </si>
  <si>
    <t>35.16</t>
  </si>
  <si>
    <t>42.13</t>
  </si>
  <si>
    <t>42.13.1</t>
  </si>
  <si>
    <t>42.13.2</t>
  </si>
  <si>
    <t>42.13.3</t>
  </si>
  <si>
    <t>42.13.4</t>
  </si>
  <si>
    <t>11.8</t>
  </si>
  <si>
    <t xml:space="preserve">Parengti vandentiekio ir nuotekų tinklų išplėtimo Mantviliškio  kaime techninį projektą </t>
  </si>
  <si>
    <t>Atlikti Savivaldybės pastato ir jo aplinkos sutvarkymo darbus</t>
  </si>
  <si>
    <t>07.06.01.01</t>
  </si>
  <si>
    <t xml:space="preserve">04.07.03.01 </t>
  </si>
  <si>
    <t>04.05.01.02</t>
  </si>
  <si>
    <t xml:space="preserve">       valstybės biudžeto lėšos, skirtos pedagoginių darbuotojų, išlaikomų iš savivaldybės biudžeto lėšų (išskyrus valstybės biudžeto specialias tikslines dotacijas),darbo užmokesčiui didinti</t>
  </si>
  <si>
    <t>16.9</t>
  </si>
  <si>
    <t>16.10</t>
  </si>
  <si>
    <t>Kita dotacija pedagoginių darbuotojų, išlaikomų iš savivaldybės biudžeto lėšų (išskyrus valstybės biudžeto specialias tikslines dotacijas),darbo užmokesčiui didinti</t>
  </si>
  <si>
    <t xml:space="preserve">     valstybės investicijų 2022 m. programoje numatytoms kapitalo investicijoms</t>
  </si>
  <si>
    <t xml:space="preserve">       valstybės biudžeto lėšos, skirtos užtikrinti 2022 metais Lietuvos Respublikos piniginės socialinės paramos nepasiturintiems gyventojams įstatymo įgyvendinimą dėl padidėjusių išlaidų būsto šildymo išlaidų kompensacijoms teikti </t>
  </si>
  <si>
    <t xml:space="preserve"> Sveikos gyvensenos plėtojimui ir stiprinimui, visuomenės sveikatos stebėsenai</t>
  </si>
  <si>
    <t>04.01.02.09</t>
  </si>
  <si>
    <t>Įrengti gamtos ir technologijų mokslų laboratorijas</t>
  </si>
  <si>
    <t>32.5.8</t>
  </si>
  <si>
    <t>32.5.9</t>
  </si>
  <si>
    <t>Kurti modernias ir šiuolaikines mokymosi erdves Kėdainių kalbų mokykloje</t>
  </si>
  <si>
    <t>Atnaujinti Kėdainių J.Paukštelio progimnazijos vidaus erdves</t>
  </si>
  <si>
    <t xml:space="preserve">Įgyvendinti kultūros paveldo objektų, esančių Kėdainių rajono savivaldybės teritorijoje ir kultūros paveldo statinių, esančių Kėdainių senamiesčio dalyje išsaugojimo darbų finansavimo programą </t>
  </si>
  <si>
    <t xml:space="preserve">Atnaujinti daugiabučių namų kiemų kietąsias dangas </t>
  </si>
  <si>
    <t>16.11</t>
  </si>
  <si>
    <t>16.12</t>
  </si>
  <si>
    <t xml:space="preserve">       valstybės biudžeto lėšos, skirtos 2022 metais asmeninei pagalbai teikti ir administruoti</t>
  </si>
  <si>
    <t xml:space="preserve">       valstybės biudžeto lėšos, skirtos socialinių paslaugų srities darbuotojų minimaliems pareiginės algos pastoviosios dalies koeficientams didinti</t>
  </si>
  <si>
    <t>Kita dotacija 2022 metais asmeninei pagalbai teikti ir administruoti</t>
  </si>
  <si>
    <t>Kita dotacija socialinių paslaugų srities darbuotojų minimaliems pareiginės algos pastoviosios dalies koeficientams didinti</t>
  </si>
  <si>
    <t>16.13</t>
  </si>
  <si>
    <t xml:space="preserve">       valstybės biudžeto lėšos, skirtos 2022 metais būstams pritaikyti neįgaliesiems</t>
  </si>
  <si>
    <t xml:space="preserve">      valstybės biudžeto lėšos, skirtos 2022 metais socialinės reabilitacijos paslaugų neįgaliesiems teikimo bendruomenėje projektams finansuoti ir administruoti</t>
  </si>
  <si>
    <t>03.6</t>
  </si>
  <si>
    <t>Kita dotaacija 2022 metais būstams pritaikyti neįgaliesiems</t>
  </si>
  <si>
    <t>03.7</t>
  </si>
  <si>
    <t>Kita dotacija 2022 metais socialinės reabilitacijos paslaugų neįgaliesiems teikimo bendruomenėje projektams finansuoti ir administruoti</t>
  </si>
  <si>
    <t xml:space="preserve">Kita dotacija užtikrinti 2022 metais Lietuvos Respublikos piniginės socialinės paramos nepasiturintiems gyventojams įstatymo įgyvendinimą dėl padidėjusių išlaidų būsto šildymo išlaidų kompensacijoms teikti </t>
  </si>
  <si>
    <t xml:space="preserve">          KĖDAINIŲ RAJONO SAVIVALDYBĖS 2022 METŲ BIUDŽETO PAJAMOS</t>
  </si>
  <si>
    <t>10.</t>
  </si>
  <si>
    <t xml:space="preserve">Teikti apdovanojimus aukšto meistriškumo sportininkams ir jų treneriams už sporto pasiekimus </t>
  </si>
  <si>
    <t>01-11</t>
  </si>
  <si>
    <t xml:space="preserve">Parengti Senojo Upytės kelio specialųjį planą ("Isos slėnis") </t>
  </si>
  <si>
    <t>56.6</t>
  </si>
  <si>
    <t>56.6.1</t>
  </si>
  <si>
    <t>56.6.2</t>
  </si>
  <si>
    <t>56.6.3</t>
  </si>
  <si>
    <t xml:space="preserve">     savivaldybės institucijos valdomiems vietinės reikšmės keliams</t>
  </si>
  <si>
    <t>16.14</t>
  </si>
  <si>
    <t>16.15</t>
  </si>
  <si>
    <t xml:space="preserve">     valstybės biudžeto lėšos, skirtos socialinių paslaugų šakos kolektyvinėje sutartyje nustatytiems įsipareigojimams igyvendinti</t>
  </si>
  <si>
    <t xml:space="preserve">      kompensuoti savivaldybės patirtas išlaidas, esant valstybės lygio ekstremaliajai situacijai, siekiant šalinti COVID-19 ligos (koronaviruso infekcijos) padarinius</t>
  </si>
  <si>
    <t xml:space="preserve"> Kita dotacija kompensuoti savivaldybės patirtas išlaidas, esant valstybės lygio ekstremaliajai situacijai, siekiant šalinti COVID-19 ligos (koronaviruso infekcijos) padarinius</t>
  </si>
  <si>
    <t>03.8</t>
  </si>
  <si>
    <t>Kita dotacija socialinių paslaugų šakos kolektyvinėje sutartyje nustatytiems įsipareigojimams igyvendinti</t>
  </si>
  <si>
    <t>07.1</t>
  </si>
  <si>
    <t>Kita dotacija  savivaldybės institucijos valdomiems vietinės reikšmės keliams</t>
  </si>
  <si>
    <t>16.16</t>
  </si>
  <si>
    <t xml:space="preserve">     plėtoti visuomenės psichologinės gerovės ir psichikos sveikatos stiprinimo paslaugas gyventojams bendruomenėse</t>
  </si>
  <si>
    <t>Plėsti dviračių takų infrastruktūrą mieste ir rajone</t>
  </si>
  <si>
    <t>16.17</t>
  </si>
  <si>
    <t xml:space="preserve">    lėšos, skirtos 2022 metais lietuvių kalbos mokyti  suaugusius asmenys, atvykusius į Lietuvos Respubliką iš Ukrainos dėl Rusijos federacijos karinių veiksmų Ukrainoje</t>
  </si>
  <si>
    <t>16.19</t>
  </si>
  <si>
    <t>16.18</t>
  </si>
  <si>
    <t xml:space="preserve">     valstybės biudžeto lėšos, skirtos išlaidoms, susijusioms su savivaldybės mokyklų mokytojų, dirbančių pagal ikimokyklinio, priešmokyklinio, bendrojo ugdymo programas, personalo optimizavimu ir atnaujinimu</t>
  </si>
  <si>
    <t>16.20</t>
  </si>
  <si>
    <t xml:space="preserve">       „Sosnovskio barščio naikinimui Kėdainių rajone“</t>
  </si>
  <si>
    <t xml:space="preserve">     valstybės biudžeto lėšos, skirtos savivaldybės bendrojo ugdymo mokyklų tinklo stiprinimo iniciatyvoms skatinti</t>
  </si>
  <si>
    <t>Sutvarkyti namų ūkiuose susidariusias asbesto atliekas</t>
  </si>
  <si>
    <t>Kita dotacija ugdyti ir pavežėti į mokyklą ir atgal vaikus, atvykusius į Lietuvos Respubliką iš Ukrainos dėl Rusijos federacijos karinių veiksmų Ukrainoje</t>
  </si>
  <si>
    <t>01.06</t>
  </si>
  <si>
    <t>Kita dotacija 2022 metais lietuvių kalbos mokyti  suaugusius asmenys, atvykusius į Lietuvos Respubliką iš Ukrainos dėl Rusijos federacijos karinių veiksmų Ukrainoje</t>
  </si>
  <si>
    <t>Kita dotacija savivaldybės mokyklų mokytojų, dirbančių pagal ikimokyklinio, priešmokyklinio, bendrojo ugdymo programas, personalo optimizavimui ir atnaujinimui</t>
  </si>
  <si>
    <t>01.07</t>
  </si>
  <si>
    <t>01.08</t>
  </si>
  <si>
    <t>Kita dotacija savivaldybės bendrojo ugdymo mokyklų tinklo stiprinimo iniciatyvoms skatinti</t>
  </si>
  <si>
    <t>01.9</t>
  </si>
  <si>
    <t xml:space="preserve"> Kita dotacija plėtoti visuomenės psichologinės gerovės ir psichikos sveikatos stiprinimo paslaugas gyventojams bendruomenėse</t>
  </si>
  <si>
    <t>Sutvarkyti naudotas padangas, kurių turėtojų nustatyti neįmanoma arba kuris neegzistuoja</t>
  </si>
  <si>
    <t>Įsigyti tekstilės atliekų surinkimo konteinerius Kėdainių rajono savivaldybėje</t>
  </si>
  <si>
    <t>16.21</t>
  </si>
  <si>
    <t xml:space="preserve">     kompensuoti išlaidas už būsto suteikimą užsieniečiams, pasitraukusiems iš Ukrainos dėl Rusijos federacijos karinių veiksmų Ukrainoje</t>
  </si>
  <si>
    <t>03.9</t>
  </si>
  <si>
    <t>Kita dotacija už būsto suteikimą užsieniečiams, pasitraukusiems iš Ukrainos dėl Rusijos federacijos karinių veiksmų Ukrainoje, finansuoti</t>
  </si>
  <si>
    <t>16.22</t>
  </si>
  <si>
    <t>16.23</t>
  </si>
  <si>
    <t>32.5.10</t>
  </si>
  <si>
    <t xml:space="preserve">iš jų: įsigyti išorinių defibriliatorių su papildoma komplektacija </t>
  </si>
  <si>
    <t>16.24</t>
  </si>
  <si>
    <t xml:space="preserve">     bendruomeninei veiklai stiprinti, įgyvendinant bandomąjį modelį</t>
  </si>
  <si>
    <t>Kita dotacija nevyriausybinių organizacijų ir bendruomeninės veiklos stiprinimui</t>
  </si>
  <si>
    <t>10.09.01.01</t>
  </si>
  <si>
    <t>05.4</t>
  </si>
  <si>
    <t>Kompensuoti įstaigoms socialinių pašalpų skaičiavimą ir mokėjimą, komunalinių paslaugų išlaidų padidėjimą, išeitines išmokas</t>
  </si>
  <si>
    <t>Asociacijos „Krepšinio naktis“ veiklos programai</t>
  </si>
  <si>
    <t xml:space="preserve">Socialinėms paslaugoms:
Teikti šeimoms individualios priežiūros darbuotojų paslaugas </t>
  </si>
  <si>
    <t xml:space="preserve">     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</si>
  <si>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 xml:space="preserve">     kompensuoti savivaldybės patirtas išlaidas valdant nepaprastąją padėtį dėl užsieniečių, pasitraukusių iš Ukrainos dėl Rusijos federacijos karinių veiksmų Ukrainoje</t>
  </si>
  <si>
    <t xml:space="preserve"> Kita dotacija kompensuoti savivaldybės patirtas išlaidas valdant nepaprastąją padėtį dėl užsieniečių, pasitraukusių iš Ukrainos dėl Rusijos federacijos karinių veiksmų Ukrainoje</t>
  </si>
  <si>
    <t>Kita dotacija vienkartinėms išmokoms įsikurti gyvenamojoje vietoje savivaldybės teritorijoje ir (ar) mėnesinėms kompensacijoms vaiko ugdymo pagal ikimokyklinio ir priešmokyklinio ugdymo programą išlaidoms</t>
  </si>
  <si>
    <t>Kita dotacija 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</si>
  <si>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Vykdyti Kėdainių lopšelio-darželio „Žilvitis“ infrastruktūros modernizavimo projektą</t>
  </si>
  <si>
    <t>Kita dotacija investicinių žemės sklypų, iki kurių ribos ir (ar) kurių ribose įrengiama ir (ar) sutvarkoma infrastruktūra, projektui "Kėdainių miesto viešosios infrastruktūros, svarbios verslui, atnaujinimas ir plėtra" įgyvendinti</t>
  </si>
  <si>
    <t>04.01.01.06</t>
  </si>
  <si>
    <t xml:space="preserve"> valstybės biudžeto lėšos, skirtos investicinių žemės sklypų, iki kurių ribos ir (ar) kurių ribose įrengiama ir (ar) sutvarkoma infrastruktūra, projektams</t>
  </si>
  <si>
    <t>Vykdyti pirminės asmens sveikatos priežiūros prieinamumo užtikrinimo Kėdainių raj. Pernaravos seniūnijos Langakių kaimo gyventojams programą</t>
  </si>
  <si>
    <t xml:space="preserve"> valstybės biudžeto lėšos, skirtos užtikrinti 2022 metais Lietuvos Respublikos piniginės socialinės paramos nepasiturintiems gyventojams įstatymo įgyvendinimą dėl valstybės remiamų pajamų dydžio padidinimo</t>
  </si>
  <si>
    <t>Kita dotacija užtikrinti 2022 metais Lietuvos Respublikos piniginės socialinės paramos nepasiturintiems gyventojams įstatymo įgyvendinimą dėl valstybės remiamų pajamų dydžio padidinimo</t>
  </si>
  <si>
    <t xml:space="preserve">10.06.01.01 10.07.01.01
</t>
  </si>
  <si>
    <t xml:space="preserve">     mokėti 20 proc. Bazinės socialinės išmokos (BSĮ) neįgaliesiems</t>
  </si>
  <si>
    <t>Kita dotaacija mokėti 20 proc. Bazinės socialinės išmokos (BSĮ) neįgaliesiems</t>
  </si>
  <si>
    <t>03.10</t>
  </si>
  <si>
    <t>03.11</t>
  </si>
  <si>
    <t>03.12</t>
  </si>
  <si>
    <t>03.13</t>
  </si>
  <si>
    <t>16.25</t>
  </si>
  <si>
    <t>16.26</t>
  </si>
  <si>
    <t>16.27</t>
  </si>
  <si>
    <t>16.28</t>
  </si>
  <si>
    <t>16.29</t>
  </si>
  <si>
    <t>16.30</t>
  </si>
  <si>
    <t>32.5.11</t>
  </si>
  <si>
    <t>35.17</t>
  </si>
  <si>
    <t>35.17.1</t>
  </si>
  <si>
    <t>35.17.2</t>
  </si>
  <si>
    <t>35.17.3</t>
  </si>
  <si>
    <t xml:space="preserve">     lėšos, skirtos ugdyti ir pavėžėti į mokyklą ir atgal vaikus, atvykusius į Lietuvos Respubliką iš Ukrainos dėl Rusijos federacijos karinių veiksmų Ukrainoje</t>
  </si>
  <si>
    <t xml:space="preserve">     valstybės biudžeto lėšos, skirtos savivaldybės administracijai vienkartinėms išmokoms įsikurti gyvenamojoje vietoje savivaldybės teritorijoje ir (ar) mėnesinėms kompensacijoms vaiko ugdymo pagal ikimokyklinio ir priešmokyklinio ugdymo programą išlaidoms</t>
  </si>
  <si>
    <t>Kompleksiškai atnaujinti daugiabučių namų kvartalus (I etapas)</t>
  </si>
  <si>
    <t>iš jų: įgyvendinti projektą „Vaikų gerovės ir saugumo didinimo, paslaugų šeimai, globėjams (rūpintojams) kokybės didinimo bei prieinamumo plėtra“</t>
  </si>
  <si>
    <t>Kėdainių kultūros centras iš viso:</t>
  </si>
  <si>
    <t>iš jų: dalyvauti projekte "Gyvenimo spalvos"</t>
  </si>
  <si>
    <t>Kėdainių suaugusiųjų ir jaunimo mokymo centras iš viso, iš jų dalyvauti projektuose:</t>
  </si>
  <si>
    <t>"Draugiška senjorams bendruomenė"</t>
  </si>
  <si>
    <t>"Jaunimo erdvė be standartų"</t>
  </si>
  <si>
    <t>"Praktinis profesinių įgūdžių gidas - galimybė tau"</t>
  </si>
  <si>
    <t>09.05.01.02</t>
  </si>
  <si>
    <t>iš jų: įgyvendinti projektą "Kėdainių ir Anykščių rajono savivaldybių mokyklų sveikatos kabinetų atnaujinimas"</t>
  </si>
  <si>
    <t>Kokybės krepšelio projektui</t>
  </si>
  <si>
    <t>Projektui "Karjeros specialistų tinklo vystymas"</t>
  </si>
  <si>
    <t>Prisidėti prie savivaldybei priklausančio būsto renovacijos savivaldybės biudžeto lėšomis</t>
  </si>
  <si>
    <t xml:space="preserve">     atkurti Nevėžio upės vientisumą nugriaunant neeksploatuojamus hidroelekrinės statinius</t>
  </si>
  <si>
    <t>Kita dotacija atkurti Nevėžio upės vientisumą nugriaunant neeksploatuojamus hidroelekrinės statinius</t>
  </si>
  <si>
    <t>42.13.5</t>
  </si>
  <si>
    <t>75.1</t>
  </si>
  <si>
    <t>75.2</t>
  </si>
  <si>
    <t>75.3</t>
  </si>
  <si>
    <t>75.4</t>
  </si>
  <si>
    <t>75.5</t>
  </si>
  <si>
    <t>75.6</t>
  </si>
  <si>
    <t>75.7</t>
  </si>
  <si>
    <t>75.7.1</t>
  </si>
  <si>
    <t>75.7.2</t>
  </si>
  <si>
    <t>75.7.3</t>
  </si>
  <si>
    <t>75.7.4</t>
  </si>
  <si>
    <t>79.1</t>
  </si>
  <si>
    <t>79.2</t>
  </si>
  <si>
    <t>79.3</t>
  </si>
  <si>
    <t>79.3.1</t>
  </si>
  <si>
    <t>79.3.2</t>
  </si>
  <si>
    <t>79.3.3</t>
  </si>
  <si>
    <t>79.3.4</t>
  </si>
  <si>
    <t>79.3.5</t>
  </si>
  <si>
    <t>79.3.6</t>
  </si>
  <si>
    <t>79.3.7</t>
  </si>
  <si>
    <t>79.3.8</t>
  </si>
  <si>
    <t>79.3.9</t>
  </si>
  <si>
    <t>79.3.10</t>
  </si>
  <si>
    <t>79.3.11</t>
  </si>
  <si>
    <t>79.3.12</t>
  </si>
  <si>
    <t>79.3.13</t>
  </si>
  <si>
    <t>79.3.14</t>
  </si>
  <si>
    <t>81.1</t>
  </si>
  <si>
    <t>81.1.1</t>
  </si>
  <si>
    <t>81.1.2</t>
  </si>
  <si>
    <t>81.1.3</t>
  </si>
  <si>
    <t>81.1.4</t>
  </si>
  <si>
    <t>81.1.5</t>
  </si>
  <si>
    <t>81.1.6</t>
  </si>
  <si>
    <t>81.1.7</t>
  </si>
  <si>
    <t>81.1.8</t>
  </si>
  <si>
    <t>81.1.9</t>
  </si>
  <si>
    <t>81.1.10</t>
  </si>
  <si>
    <t>81.1.11</t>
  </si>
  <si>
    <t>81.1.12</t>
  </si>
  <si>
    <t>81.1.13</t>
  </si>
  <si>
    <t>81.1.14</t>
  </si>
  <si>
    <t>81.1.15</t>
  </si>
  <si>
    <t>81.1.16</t>
  </si>
  <si>
    <t>81.1.17</t>
  </si>
  <si>
    <t>81.1.18</t>
  </si>
  <si>
    <t>81.1.19</t>
  </si>
  <si>
    <t>81.1.20</t>
  </si>
  <si>
    <t>81.1.21</t>
  </si>
  <si>
    <t>81.1.22</t>
  </si>
  <si>
    <t>81.1.23</t>
  </si>
  <si>
    <t>81.1.24</t>
  </si>
  <si>
    <t>81.1.25</t>
  </si>
  <si>
    <t>81.1.26</t>
  </si>
  <si>
    <t>81.1.27</t>
  </si>
  <si>
    <t>81.1.28</t>
  </si>
  <si>
    <t>81.1.29</t>
  </si>
  <si>
    <t>81.1.30</t>
  </si>
  <si>
    <t>81.1.31</t>
  </si>
  <si>
    <t>81.1.32</t>
  </si>
  <si>
    <t>81.1.33</t>
  </si>
  <si>
    <t>81.1.34</t>
  </si>
  <si>
    <t>94.1</t>
  </si>
  <si>
    <t>94.2</t>
  </si>
  <si>
    <t>94.3</t>
  </si>
  <si>
    <t>94.4</t>
  </si>
  <si>
    <t>94.5</t>
  </si>
  <si>
    <t>94.6</t>
  </si>
  <si>
    <t>94.7</t>
  </si>
  <si>
    <t>94.8</t>
  </si>
  <si>
    <t>94.8.1</t>
  </si>
  <si>
    <t>94.8.2</t>
  </si>
  <si>
    <t>94.8.3</t>
  </si>
  <si>
    <t>107.1</t>
  </si>
  <si>
    <t>107.2</t>
  </si>
  <si>
    <t>107.2.1</t>
  </si>
  <si>
    <t>107.2.2</t>
  </si>
  <si>
    <t>109.1</t>
  </si>
  <si>
    <t>109.2</t>
  </si>
  <si>
    <t>109.3</t>
  </si>
  <si>
    <t>113.1</t>
  </si>
  <si>
    <t>113.2</t>
  </si>
  <si>
    <t>113.3</t>
  </si>
  <si>
    <t>113.4</t>
  </si>
  <si>
    <t>113.5</t>
  </si>
  <si>
    <t>113.6</t>
  </si>
  <si>
    <t>113.7</t>
  </si>
  <si>
    <t>113.8</t>
  </si>
  <si>
    <t>113.9</t>
  </si>
  <si>
    <t>5.1</t>
  </si>
  <si>
    <t>2.3</t>
  </si>
  <si>
    <t>3.1</t>
  </si>
  <si>
    <t>3.2</t>
  </si>
  <si>
    <t>3.3</t>
  </si>
  <si>
    <t>3.4</t>
  </si>
  <si>
    <t>5</t>
  </si>
  <si>
    <t>6</t>
  </si>
  <si>
    <t>9</t>
  </si>
  <si>
    <t>9.1</t>
  </si>
  <si>
    <t>10.3</t>
  </si>
  <si>
    <t>12</t>
  </si>
  <si>
    <t>15.2</t>
  </si>
  <si>
    <t>17.1</t>
  </si>
  <si>
    <t>17.2</t>
  </si>
  <si>
    <t>19.1</t>
  </si>
  <si>
    <t>19.2</t>
  </si>
  <si>
    <t>19.3</t>
  </si>
  <si>
    <t>19.4</t>
  </si>
  <si>
    <t>19.5</t>
  </si>
  <si>
    <t>21.1</t>
  </si>
  <si>
    <t>21.2</t>
  </si>
  <si>
    <t>10.01.02.01
10.01.02.02
10.06.01.01
10.09.01.01 
10.09.01.09</t>
  </si>
  <si>
    <t xml:space="preserve">16.31 </t>
  </si>
  <si>
    <t xml:space="preserve">     valstybės biudžeto lėšos, skirtos savivaldybės administracijai integraliai pagalbai teikti</t>
  </si>
  <si>
    <t>03.14</t>
  </si>
  <si>
    <t>Rekonstruoti/įrengti/modernizuoti Kėdainių miesto ir rajono  gatvių apšvietimą</t>
  </si>
  <si>
    <t>16.32</t>
  </si>
  <si>
    <t>03.15</t>
  </si>
  <si>
    <t xml:space="preserve">     valstybės biudžeto lėšos, skirtos teikti socialines paslaugas dėl karinių veiksmų iš Ukrainos pasitraukusiems gyventojams savivaldybėje</t>
  </si>
  <si>
    <t xml:space="preserve">  Kita dotacija teikti socialines paslaugas dėl karinių veiksmų iš Ukrainos pasitraukusiems gyventojams savivaldybėje</t>
  </si>
  <si>
    <t>Kita dotacija itegraliai pagalbai teikti nuo 2022 m. sausio 1 d. iki 2022 m. gruodžio 31 d.</t>
  </si>
  <si>
    <t>08.2</t>
  </si>
  <si>
    <t xml:space="preserve">                                                        2022 m. gruodžio 16 d. sprendimo Nr. TS-326</t>
  </si>
  <si>
    <t xml:space="preserve">                                                            2022 m. gruodžio 16 d. sprendimo Nr. TS-326</t>
  </si>
  <si>
    <t xml:space="preserve">                                                       2022 m. gruodžio 16 d. sprendimo Nr. TS-326</t>
  </si>
  <si>
    <t xml:space="preserve">                                                           2022 m. gruodžio 16 d. sprendimo Nr. TS-326</t>
  </si>
  <si>
    <t xml:space="preserve">                                         2022 m. gruodžio 16 d. sprendimo Nr. TS-326</t>
  </si>
</sst>
</file>

<file path=xl/styles.xml><?xml version="1.0" encoding="utf-8"?>
<styleSheet xmlns="http://purl.oclc.org/ooxml/spreadsheetml/main" xmlns:mc="http://schemas.openxmlformats.org/markup-compatibility/2006" xmlns:x14ac="http://schemas.microsoft.com/office/spreadsheetml/2009/9/ac" mc:Ignorable="x14ac">
  <numFmts count="9">
    <numFmt numFmtId="43" formatCode="_(* #,##0.00_);_(* \(#,##0.00\);_(* &quot;-&quot;??_);_(@_)"/>
    <numFmt numFmtId="171" formatCode="_-* #,##0.00_-;\-* #,##0.00_-;_-* &quot;-&quot;??_-;_-@_-"/>
    <numFmt numFmtId="173" formatCode="_-* #,##0.00\ _€_-;\-* #,##0.00\ _€_-;_-* &quot;-&quot;??\ _€_-;_-@_-"/>
    <numFmt numFmtId="181" formatCode="_-* #,##0.00\ _L_t_-;\-* #,##0.00\ _L_t_-;_-* &quot;-&quot;??\ _L_t_-;_-@_-"/>
    <numFmt numFmtId="182" formatCode="0.0"/>
    <numFmt numFmtId="183" formatCode="#,##0.0"/>
    <numFmt numFmtId="188" formatCode="0.0;\-0.0;;"/>
    <numFmt numFmtId="189" formatCode="0.0_ ;\-0.0\ "/>
    <numFmt numFmtId="191" formatCode="#,##0.0_ ;\-#,##0.0\ "/>
  </numFmts>
  <fonts count="15" x14ac:knownFonts="1">
    <font>
      <sz val="10"/>
      <name val="Arial"/>
    </font>
    <font>
      <sz val="10"/>
      <name val="Times New Roman"/>
      <family val="1"/>
      <charset val="186"/>
    </font>
    <font>
      <b/>
      <sz val="10"/>
      <name val="Times New Roman"/>
      <family val="1"/>
      <charset val="186"/>
    </font>
    <font>
      <sz val="12"/>
      <name val="Times New Roman"/>
      <family val="1"/>
      <charset val="186"/>
    </font>
    <font>
      <sz val="9"/>
      <name val="Times New Roman"/>
      <family val="1"/>
      <charset val="186"/>
    </font>
    <font>
      <i/>
      <sz val="10"/>
      <name val="Times New Roman"/>
      <family val="1"/>
      <charset val="186"/>
    </font>
    <font>
      <sz val="10"/>
      <name val="Arial"/>
      <family val="2"/>
      <charset val="186"/>
    </font>
    <font>
      <b/>
      <sz val="9"/>
      <name val="Times New Roman"/>
      <family val="1"/>
      <charset val="186"/>
    </font>
    <font>
      <sz val="8"/>
      <name val="Times New Roman"/>
      <family val="1"/>
      <charset val="186"/>
    </font>
    <font>
      <b/>
      <sz val="11"/>
      <name val="Times New Roman"/>
      <family val="1"/>
      <charset val="186"/>
    </font>
    <font>
      <b/>
      <i/>
      <sz val="10"/>
      <name val="Times New Roman"/>
      <family val="1"/>
      <charset val="186"/>
    </font>
    <font>
      <sz val="11"/>
      <name val="Calibri"/>
      <family val="2"/>
      <charset val="186"/>
    </font>
    <font>
      <sz val="8"/>
      <name val="Arial"/>
      <family val="2"/>
      <charset val="186"/>
    </font>
    <font>
      <sz val="11"/>
      <color theme="1"/>
      <name val="Calibri"/>
      <family val="2"/>
      <charset val="186"/>
      <scheme val="minor"/>
    </font>
    <font>
      <sz val="10"/>
      <color rgb="FFFF0000"/>
      <name val="Times New Roman"/>
      <family val="1"/>
      <charset val="186"/>
    </font>
  </fonts>
  <fills count="2">
    <fill>
      <patternFill patternType="none"/>
    </fill>
    <fill>
      <patternFill patternType="gray125"/>
    </fill>
  </fills>
  <borders count="10">
    <border>
      <start/>
      <end/>
      <top/>
      <bottom/>
      <diagonal/>
    </border>
    <border>
      <start style="thin">
        <color indexed="64"/>
      </start>
      <end style="thin">
        <color indexed="64"/>
      </end>
      <top style="thin">
        <color indexed="64"/>
      </top>
      <bottom style="thin">
        <color indexed="64"/>
      </bottom>
      <diagonal/>
    </border>
    <border>
      <start/>
      <end/>
      <top style="thin">
        <color indexed="64"/>
      </top>
      <bottom style="thin">
        <color indexed="64"/>
      </bottom>
      <diagonal/>
    </border>
    <border>
      <start style="thin">
        <color indexed="64"/>
      </start>
      <end style="thin">
        <color indexed="64"/>
      </end>
      <top style="thin">
        <color indexed="64"/>
      </top>
      <bottom/>
      <diagonal/>
    </border>
    <border>
      <start/>
      <end style="thin">
        <color indexed="64"/>
      </end>
      <top style="thin">
        <color indexed="64"/>
      </top>
      <bottom style="thin">
        <color indexed="64"/>
      </bottom>
      <diagonal/>
    </border>
    <border>
      <start/>
      <end/>
      <top/>
      <bottom style="thin">
        <color indexed="64"/>
      </bottom>
      <diagonal/>
    </border>
    <border>
      <start style="thin">
        <color indexed="64"/>
      </start>
      <end/>
      <top style="thin">
        <color indexed="64"/>
      </top>
      <bottom style="thin">
        <color indexed="64"/>
      </bottom>
      <diagonal/>
    </border>
    <border>
      <start style="thin">
        <color indexed="64"/>
      </start>
      <end/>
      <top/>
      <bottom/>
      <diagonal/>
    </border>
    <border>
      <start style="thin">
        <color indexed="64"/>
      </start>
      <end style="thin">
        <color indexed="64"/>
      </end>
      <top/>
      <bottom style="thin">
        <color indexed="64"/>
      </bottom>
      <diagonal/>
    </border>
    <border>
      <start style="thin">
        <color indexed="64"/>
      </start>
      <end style="thin">
        <color indexed="64"/>
      </end>
      <top/>
      <bottom/>
      <diagonal/>
    </border>
  </borders>
  <cellStyleXfs count="21">
    <xf numFmtId="0" fontId="0" fillId="0" borderId="0"/>
    <xf numFmtId="0" fontId="6" fillId="0" borderId="0"/>
    <xf numFmtId="0" fontId="1" fillId="0" borderId="0"/>
    <xf numFmtId="0" fontId="6" fillId="0" borderId="0"/>
    <xf numFmtId="0" fontId="13" fillId="0" borderId="0"/>
    <xf numFmtId="181"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1" fontId="13" fillId="0" borderId="0" applyFont="0" applyFill="0" applyBorder="0" applyAlignment="0" applyProtection="0"/>
    <xf numFmtId="43" fontId="6" fillId="0" borderId="0" applyFont="0" applyFill="0" applyBorder="0" applyAlignment="0" applyProtection="0"/>
    <xf numFmtId="173"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0" fontId="6" fillId="0" borderId="0"/>
    <xf numFmtId="0" fontId="6" fillId="0" borderId="0"/>
    <xf numFmtId="0" fontId="1" fillId="0" borderId="0"/>
    <xf numFmtId="0" fontId="1" fillId="0" borderId="0"/>
    <xf numFmtId="0" fontId="1" fillId="0" borderId="0"/>
    <xf numFmtId="0" fontId="6" fillId="0" borderId="0"/>
  </cellStyleXfs>
  <cellXfs count="198">
    <xf numFmtId="0" fontId="0" fillId="0" borderId="0" xfId="0"/>
    <xf numFmtId="49" fontId="1" fillId="0" borderId="1" xfId="0" applyNumberFormat="1" applyFont="1" applyFill="1" applyBorder="1" applyAlignment="1">
      <alignment horizontal="center" vertical="center"/>
    </xf>
    <xf numFmtId="0" fontId="1" fillId="0" borderId="0" xfId="0" applyFont="1" applyFill="1"/>
    <xf numFmtId="0" fontId="1" fillId="0" borderId="0" xfId="0" applyFont="1" applyFill="1" applyAlignment="1">
      <alignment vertical="center"/>
    </xf>
    <xf numFmtId="182" fontId="1" fillId="0" borderId="0" xfId="0" applyNumberFormat="1" applyFont="1" applyFill="1"/>
    <xf numFmtId="0" fontId="1" fillId="0" borderId="0" xfId="0" applyFont="1" applyFill="1" applyAlignment="1">
      <alignment horizontal="righ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1" fillId="0" borderId="1" xfId="0" applyFont="1" applyFill="1" applyBorder="1" applyAlignment="1">
      <alignment horizontal="right" vertical="center"/>
    </xf>
    <xf numFmtId="0" fontId="2"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82" fontId="1" fillId="0" borderId="1" xfId="0" applyNumberFormat="1" applyFont="1" applyFill="1" applyBorder="1" applyAlignment="1">
      <alignment vertical="center" wrapText="1"/>
    </xf>
    <xf numFmtId="182" fontId="1"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183" fontId="1" fillId="0" borderId="1" xfId="0" applyNumberFormat="1" applyFont="1" applyFill="1" applyBorder="1" applyAlignment="1">
      <alignment horizontal="right" vertical="center"/>
    </xf>
    <xf numFmtId="182" fontId="1" fillId="0" borderId="0" xfId="0" applyNumberFormat="1" applyFont="1" applyFill="1" applyAlignment="1">
      <alignment horizontal="right" vertical="center"/>
    </xf>
    <xf numFmtId="182" fontId="1" fillId="0" borderId="2" xfId="0" applyNumberFormat="1" applyFont="1" applyFill="1" applyBorder="1" applyAlignment="1">
      <alignment vertical="center"/>
    </xf>
    <xf numFmtId="182" fontId="1" fillId="0" borderId="2" xfId="0" applyNumberFormat="1" applyFont="1" applyFill="1" applyBorder="1" applyAlignment="1">
      <alignment vertical="center" wrapText="1"/>
    </xf>
    <xf numFmtId="0" fontId="1" fillId="0" borderId="1" xfId="0" applyFont="1" applyFill="1" applyBorder="1" applyAlignment="1">
      <alignment horizontal="center" vertical="center" wrapText="1"/>
    </xf>
    <xf numFmtId="182" fontId="1" fillId="0" borderId="1" xfId="0" applyNumberFormat="1" applyFont="1" applyFill="1" applyBorder="1" applyAlignment="1">
      <alignment vertical="center"/>
    </xf>
    <xf numFmtId="0" fontId="1" fillId="0" borderId="0" xfId="0" applyFont="1" applyFill="1" applyAlignment="1">
      <alignment horizontal="right"/>
    </xf>
    <xf numFmtId="182" fontId="8" fillId="0" borderId="0" xfId="0" applyNumberFormat="1" applyFont="1" applyFill="1"/>
    <xf numFmtId="49" fontId="2" fillId="0" borderId="1" xfId="0" applyNumberFormat="1" applyFont="1" applyFill="1" applyBorder="1" applyAlignment="1">
      <alignment horizontal="right" vertical="center"/>
    </xf>
    <xf numFmtId="49" fontId="1" fillId="0" borderId="1" xfId="0" applyNumberFormat="1" applyFont="1" applyFill="1" applyBorder="1" applyAlignment="1">
      <alignment vertical="center" wrapText="1"/>
    </xf>
    <xf numFmtId="49" fontId="2" fillId="0" borderId="0" xfId="0" applyNumberFormat="1" applyFont="1" applyFill="1" applyAlignment="1">
      <alignment horizontal="center" vertical="center" wrapText="1"/>
    </xf>
    <xf numFmtId="0" fontId="1" fillId="0" borderId="0" xfId="0" applyFont="1" applyFill="1" applyAlignment="1">
      <alignment wrapText="1"/>
    </xf>
    <xf numFmtId="49" fontId="1" fillId="0" borderId="3" xfId="0" applyNumberFormat="1" applyFont="1" applyFill="1" applyBorder="1" applyAlignment="1">
      <alignment horizontal="center" vertical="center"/>
    </xf>
    <xf numFmtId="183" fontId="1" fillId="0" borderId="1" xfId="0" applyNumberFormat="1" applyFont="1" applyFill="1" applyBorder="1" applyAlignment="1">
      <alignment vertical="center"/>
    </xf>
    <xf numFmtId="182" fontId="1" fillId="0" borderId="1" xfId="0" applyNumberFormat="1" applyFont="1" applyFill="1" applyBorder="1" applyAlignment="1">
      <alignment horizontal="left" vertical="center"/>
    </xf>
    <xf numFmtId="182" fontId="1" fillId="0" borderId="0" xfId="0" applyNumberFormat="1" applyFont="1" applyFill="1" applyAlignment="1">
      <alignment horizontal="right"/>
    </xf>
    <xf numFmtId="0" fontId="3" fillId="0" borderId="0" xfId="0" applyFont="1" applyFill="1" applyAlignment="1">
      <alignment horizontal="right" vertical="center"/>
    </xf>
    <xf numFmtId="183" fontId="1" fillId="0" borderId="0" xfId="0" applyNumberFormat="1" applyFont="1" applyFill="1"/>
    <xf numFmtId="182" fontId="2" fillId="0" borderId="0" xfId="0" applyNumberFormat="1" applyFont="1" applyFill="1"/>
    <xf numFmtId="183" fontId="2" fillId="0" borderId="0" xfId="0" applyNumberFormat="1" applyFont="1" applyFill="1"/>
    <xf numFmtId="1" fontId="1" fillId="0" borderId="0" xfId="0" applyNumberFormat="1" applyFont="1" applyFill="1"/>
    <xf numFmtId="0" fontId="3" fillId="0" borderId="0" xfId="0" applyFont="1" applyFill="1"/>
    <xf numFmtId="183" fontId="1" fillId="0" borderId="1" xfId="0" applyNumberFormat="1" applyFont="1" applyFill="1" applyBorder="1" applyAlignment="1">
      <alignment horizontal="right" vertical="center" wrapText="1"/>
    </xf>
    <xf numFmtId="183" fontId="2" fillId="0" borderId="1" xfId="0" applyNumberFormat="1" applyFont="1" applyFill="1" applyBorder="1" applyAlignment="1">
      <alignment horizontal="center" vertical="center"/>
    </xf>
    <xf numFmtId="0" fontId="1" fillId="0" borderId="0" xfId="0" applyFont="1" applyFill="1" applyAlignment="1">
      <alignment horizontal="center"/>
    </xf>
    <xf numFmtId="183" fontId="2"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183" fontId="1" fillId="0" borderId="0" xfId="0" applyNumberFormat="1" applyFont="1" applyFill="1" applyAlignment="1">
      <alignment vertical="center"/>
    </xf>
    <xf numFmtId="182" fontId="1" fillId="0" borderId="0" xfId="0" applyNumberFormat="1" applyFont="1" applyFill="1" applyAlignment="1">
      <alignment vertical="center"/>
    </xf>
    <xf numFmtId="182" fontId="1" fillId="0" borderId="1" xfId="19" applyNumberFormat="1" applyFont="1" applyFill="1" applyBorder="1" applyAlignment="1">
      <alignment vertical="center"/>
    </xf>
    <xf numFmtId="49" fontId="2" fillId="0" borderId="4" xfId="0" applyNumberFormat="1" applyFont="1" applyFill="1" applyBorder="1" applyAlignment="1">
      <alignment horizontal="right" vertical="center"/>
    </xf>
    <xf numFmtId="183" fontId="1" fillId="0" borderId="0" xfId="0" applyNumberFormat="1" applyFont="1" applyFill="1" applyAlignment="1">
      <alignment horizontal="right" vertical="center"/>
    </xf>
    <xf numFmtId="182" fontId="1" fillId="0" borderId="2" xfId="0" applyNumberFormat="1" applyFont="1" applyFill="1" applyBorder="1" applyAlignment="1">
      <alignment horizontal="left" vertical="center" wrapText="1"/>
    </xf>
    <xf numFmtId="183" fontId="2" fillId="0" borderId="1" xfId="19"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1" fillId="0" borderId="0" xfId="1" applyFont="1" applyFill="1" applyAlignment="1">
      <alignment horizontal="left" vertical="center"/>
    </xf>
    <xf numFmtId="0" fontId="5" fillId="0" borderId="0" xfId="1" applyFont="1" applyFill="1" applyAlignment="1">
      <alignment horizontal="left" vertical="center"/>
    </xf>
    <xf numFmtId="183" fontId="2" fillId="0" borderId="0" xfId="0" applyNumberFormat="1" applyFont="1" applyFill="1" applyAlignment="1">
      <alignment horizontal="right" vertical="center"/>
    </xf>
    <xf numFmtId="183" fontId="1" fillId="0" borderId="1" xfId="19" applyNumberFormat="1" applyFont="1" applyFill="1" applyBorder="1" applyAlignment="1">
      <alignment horizontal="right" vertical="center"/>
    </xf>
    <xf numFmtId="0" fontId="5" fillId="0" borderId="1" xfId="18" applyFont="1" applyFill="1" applyBorder="1" applyAlignment="1">
      <alignment vertical="center" wrapText="1"/>
    </xf>
    <xf numFmtId="49" fontId="8" fillId="0" borderId="1" xfId="0" applyNumberFormat="1" applyFont="1" applyFill="1" applyBorder="1" applyAlignment="1">
      <alignment horizontal="right" vertical="center"/>
    </xf>
    <xf numFmtId="49" fontId="1" fillId="0" borderId="1" xfId="0" applyNumberFormat="1" applyFont="1" applyFill="1" applyBorder="1" applyAlignment="1">
      <alignment horizontal="right" vertical="center"/>
    </xf>
    <xf numFmtId="188" fontId="1" fillId="0" borderId="0" xfId="0" applyNumberFormat="1" applyFont="1" applyFill="1"/>
    <xf numFmtId="0" fontId="1" fillId="0" borderId="5" xfId="0" applyFont="1" applyFill="1" applyBorder="1" applyAlignment="1">
      <alignment horizontal="right" vertical="center"/>
    </xf>
    <xf numFmtId="0" fontId="1" fillId="0" borderId="3" xfId="0" applyFont="1" applyFill="1" applyBorder="1" applyAlignment="1">
      <alignment horizontal="right" vertical="center"/>
    </xf>
    <xf numFmtId="49" fontId="10" fillId="0" borderId="1" xfId="0" applyNumberFormat="1" applyFont="1" applyFill="1" applyBorder="1" applyAlignment="1">
      <alignment vertical="center" wrapText="1"/>
    </xf>
    <xf numFmtId="183" fontId="2" fillId="0" borderId="1" xfId="0" applyNumberFormat="1" applyFont="1" applyFill="1" applyBorder="1" applyAlignment="1">
      <alignment horizontal="right"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82" fontId="5" fillId="0" borderId="1" xfId="0" applyNumberFormat="1" applyFont="1" applyFill="1" applyBorder="1" applyAlignment="1">
      <alignment vertical="center" wrapText="1"/>
    </xf>
    <xf numFmtId="0" fontId="1" fillId="0" borderId="1" xfId="0" applyFont="1" applyFill="1" applyBorder="1" applyAlignment="1">
      <alignment horizontal="left" vertical="top" wrapText="1"/>
    </xf>
    <xf numFmtId="0" fontId="5" fillId="0" borderId="1" xfId="0" applyFont="1" applyFill="1" applyBorder="1" applyAlignment="1">
      <alignment horizontal="left" vertical="center" wrapText="1"/>
    </xf>
    <xf numFmtId="183" fontId="2" fillId="0" borderId="1" xfId="19" applyNumberFormat="1" applyFont="1" applyFill="1" applyBorder="1" applyAlignment="1">
      <alignment horizontal="right" vertical="center"/>
    </xf>
    <xf numFmtId="182" fontId="2" fillId="0" borderId="1" xfId="0" applyNumberFormat="1" applyFont="1" applyFill="1" applyBorder="1" applyAlignment="1">
      <alignment vertical="center" wrapText="1"/>
    </xf>
    <xf numFmtId="0" fontId="8" fillId="0" borderId="1" xfId="0" applyFont="1" applyFill="1" applyBorder="1" applyAlignment="1">
      <alignment horizontal="right" vertical="center"/>
    </xf>
    <xf numFmtId="191" fontId="1" fillId="0" borderId="1" xfId="0" applyNumberFormat="1" applyFont="1" applyFill="1" applyBorder="1" applyAlignment="1">
      <alignment horizontal="center" vertical="center" wrapText="1"/>
    </xf>
    <xf numFmtId="191"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49" fontId="2" fillId="0" borderId="1" xfId="19" applyNumberFormat="1" applyFont="1" applyFill="1" applyBorder="1" applyAlignment="1">
      <alignment horizontal="center" vertical="center" wrapText="1"/>
    </xf>
    <xf numFmtId="0" fontId="1" fillId="0" borderId="0" xfId="0" applyFont="1" applyFill="1" applyAlignment="1">
      <alignment horizontal="left"/>
    </xf>
    <xf numFmtId="49" fontId="9" fillId="0" borderId="1" xfId="0" applyNumberFormat="1" applyFont="1" applyFill="1" applyBorder="1" applyAlignment="1">
      <alignment horizontal="right" vertical="center" wrapText="1"/>
    </xf>
    <xf numFmtId="0" fontId="1" fillId="0" borderId="0" xfId="0" applyFont="1" applyFill="1" applyAlignment="1">
      <alignment vertical="center" wrapText="1"/>
    </xf>
    <xf numFmtId="189" fontId="1" fillId="0" borderId="0" xfId="0" applyNumberFormat="1" applyFont="1" applyFill="1" applyAlignment="1">
      <alignment vertical="center"/>
    </xf>
    <xf numFmtId="2" fontId="1" fillId="0" borderId="0" xfId="0" applyNumberFormat="1" applyFont="1" applyFill="1" applyAlignment="1">
      <alignment horizontal="center" vertical="center"/>
    </xf>
    <xf numFmtId="182" fontId="1" fillId="0" borderId="1" xfId="19" applyNumberFormat="1" applyFont="1" applyFill="1" applyBorder="1" applyAlignment="1">
      <alignment vertical="center" wrapText="1"/>
    </xf>
    <xf numFmtId="183" fontId="1" fillId="0" borderId="0" xfId="19" applyNumberFormat="1" applyFont="1" applyFill="1" applyAlignment="1">
      <alignment horizontal="right" vertical="center"/>
    </xf>
    <xf numFmtId="182" fontId="1" fillId="0" borderId="1" xfId="19" applyNumberFormat="1" applyFont="1" applyFill="1" applyBorder="1" applyAlignment="1">
      <alignment horizontal="left" vertical="center" wrapText="1"/>
    </xf>
    <xf numFmtId="0" fontId="1" fillId="0" borderId="1" xfId="18" applyFont="1" applyFill="1" applyBorder="1" applyAlignment="1">
      <alignment vertical="center" wrapText="1"/>
    </xf>
    <xf numFmtId="49" fontId="1" fillId="0" borderId="1" xfId="19" applyNumberFormat="1" applyFont="1" applyFill="1" applyBorder="1" applyAlignment="1">
      <alignment horizontal="center" vertical="center"/>
    </xf>
    <xf numFmtId="49" fontId="1" fillId="0" borderId="1" xfId="19" applyNumberFormat="1" applyFont="1" applyFill="1" applyBorder="1" applyAlignment="1">
      <alignment horizontal="center" vertical="center" wrapText="1"/>
    </xf>
    <xf numFmtId="49" fontId="1" fillId="0" borderId="1" xfId="18" applyNumberFormat="1" applyFont="1" applyFill="1" applyBorder="1" applyAlignment="1">
      <alignment horizontal="center" vertical="center" wrapText="1"/>
    </xf>
    <xf numFmtId="49" fontId="1" fillId="0" borderId="6" xfId="0" applyNumberFormat="1" applyFont="1" applyFill="1" applyBorder="1" applyAlignment="1">
      <alignment vertical="center" wrapText="1"/>
    </xf>
    <xf numFmtId="49" fontId="1" fillId="0" borderId="4" xfId="0" applyNumberFormat="1" applyFont="1" applyFill="1" applyBorder="1" applyAlignment="1">
      <alignment vertical="center" wrapText="1"/>
    </xf>
    <xf numFmtId="182" fontId="8" fillId="0" borderId="0" xfId="0" applyNumberFormat="1" applyFont="1" applyFill="1" applyAlignment="1">
      <alignment vertical="center"/>
    </xf>
    <xf numFmtId="182" fontId="2" fillId="0" borderId="0" xfId="0" applyNumberFormat="1" applyFont="1" applyFill="1" applyAlignment="1">
      <alignment vertical="center"/>
    </xf>
    <xf numFmtId="0" fontId="1" fillId="0" borderId="1" xfId="0" applyFont="1" applyFill="1" applyBorder="1"/>
    <xf numFmtId="183" fontId="1" fillId="0" borderId="1" xfId="19" applyNumberFormat="1" applyFont="1" applyFill="1" applyBorder="1" applyAlignment="1">
      <alignment horizontal="center" vertical="center"/>
    </xf>
    <xf numFmtId="0" fontId="3" fillId="0" borderId="0" xfId="0" applyFont="1" applyFill="1" applyAlignment="1">
      <alignment horizontal="right"/>
    </xf>
    <xf numFmtId="0" fontId="2" fillId="0" borderId="0" xfId="0" applyFont="1" applyFill="1" applyAlignment="1">
      <alignment horizontal="center" vertical="center" wrapText="1"/>
    </xf>
    <xf numFmtId="0" fontId="1" fillId="0" borderId="3" xfId="0" applyFont="1" applyFill="1" applyBorder="1" applyAlignment="1">
      <alignment horizontal="center" vertical="center"/>
    </xf>
    <xf numFmtId="49" fontId="2" fillId="0" borderId="3" xfId="0" applyNumberFormat="1" applyFont="1" applyFill="1" applyBorder="1" applyAlignment="1">
      <alignment horizontal="center" vertical="center"/>
    </xf>
    <xf numFmtId="0" fontId="1" fillId="0" borderId="0" xfId="1" applyFont="1" applyFill="1" applyAlignment="1">
      <alignment vertical="center"/>
    </xf>
    <xf numFmtId="0" fontId="3" fillId="0" borderId="0" xfId="1" applyFont="1" applyFill="1" applyAlignment="1">
      <alignment horizontal="right"/>
    </xf>
    <xf numFmtId="0" fontId="3" fillId="0" borderId="0" xfId="1" applyFont="1" applyFill="1" applyAlignment="1">
      <alignment horizontal="right" vertical="center"/>
    </xf>
    <xf numFmtId="0" fontId="2" fillId="0" borderId="0" xfId="1" applyFont="1" applyFill="1" applyAlignment="1">
      <alignment vertical="center"/>
    </xf>
    <xf numFmtId="0" fontId="1" fillId="0" borderId="0" xfId="1" applyFont="1" applyFill="1"/>
    <xf numFmtId="0" fontId="2" fillId="0" borderId="1" xfId="1" applyFont="1" applyFill="1" applyBorder="1" applyAlignment="1">
      <alignment vertical="center"/>
    </xf>
    <xf numFmtId="0" fontId="2" fillId="0" borderId="1" xfId="1" applyFont="1" applyFill="1" applyBorder="1" applyAlignment="1">
      <alignment horizontal="center" vertical="center"/>
    </xf>
    <xf numFmtId="0" fontId="1" fillId="0" borderId="1" xfId="1" applyFont="1" applyFill="1" applyBorder="1" applyAlignment="1">
      <alignment horizontal="right" vertical="center"/>
    </xf>
    <xf numFmtId="183" fontId="2" fillId="0" borderId="1" xfId="0" applyNumberFormat="1" applyFont="1" applyFill="1" applyBorder="1"/>
    <xf numFmtId="183" fontId="2" fillId="0" borderId="1" xfId="0" applyNumberFormat="1" applyFont="1" applyFill="1" applyBorder="1" applyAlignment="1">
      <alignment vertical="center"/>
    </xf>
    <xf numFmtId="0" fontId="2" fillId="0" borderId="1" xfId="1" applyFont="1" applyFill="1" applyBorder="1" applyAlignment="1">
      <alignment vertical="center" wrapText="1"/>
    </xf>
    <xf numFmtId="0" fontId="1" fillId="0" borderId="1" xfId="1" applyFont="1" applyFill="1" applyBorder="1" applyAlignment="1">
      <alignment vertical="center"/>
    </xf>
    <xf numFmtId="18" fontId="1" fillId="0" borderId="0" xfId="0" applyNumberFormat="1" applyFont="1" applyFill="1"/>
    <xf numFmtId="0" fontId="1" fillId="0" borderId="1" xfId="1" applyFont="1" applyFill="1" applyBorder="1" applyAlignment="1">
      <alignment vertical="center" wrapText="1"/>
    </xf>
    <xf numFmtId="16" fontId="1" fillId="0" borderId="1" xfId="1" applyNumberFormat="1" applyFont="1" applyFill="1" applyBorder="1" applyAlignment="1">
      <alignment horizontal="right" vertical="center"/>
    </xf>
    <xf numFmtId="0" fontId="1" fillId="0" borderId="1" xfId="1" applyFont="1" applyFill="1" applyBorder="1" applyAlignment="1">
      <alignment horizontal="left" vertical="center" wrapText="1"/>
    </xf>
    <xf numFmtId="183" fontId="1" fillId="0" borderId="1" xfId="0" applyNumberFormat="1" applyFont="1" applyFill="1" applyBorder="1"/>
    <xf numFmtId="49" fontId="1" fillId="0" borderId="1" xfId="1" applyNumberFormat="1" applyFont="1" applyFill="1" applyBorder="1" applyAlignment="1">
      <alignment horizontal="right" vertical="center"/>
    </xf>
    <xf numFmtId="182" fontId="1" fillId="0" borderId="0" xfId="0" applyNumberFormat="1" applyFont="1" applyFill="1" applyAlignment="1">
      <alignment horizontal="center"/>
    </xf>
    <xf numFmtId="0" fontId="1" fillId="0" borderId="0" xfId="1" applyFont="1" applyFill="1" applyAlignment="1">
      <alignment vertical="center" wrapText="1"/>
    </xf>
    <xf numFmtId="0" fontId="1" fillId="0" borderId="1" xfId="0" applyFont="1" applyFill="1" applyBorder="1" applyAlignment="1">
      <alignment horizontal="justify" vertical="center" wrapText="1"/>
    </xf>
    <xf numFmtId="0" fontId="1" fillId="0" borderId="1" xfId="1" applyFont="1" applyFill="1" applyBorder="1" applyAlignment="1">
      <alignment horizontal="justify" vertical="center" wrapText="1"/>
    </xf>
    <xf numFmtId="0" fontId="2" fillId="0" borderId="1" xfId="1" applyFont="1" applyFill="1" applyBorder="1" applyAlignment="1">
      <alignment horizontal="right" vertical="center"/>
    </xf>
    <xf numFmtId="182" fontId="10" fillId="0" borderId="0" xfId="0" applyNumberFormat="1" applyFont="1" applyFill="1"/>
    <xf numFmtId="183" fontId="2" fillId="0" borderId="0" xfId="0" applyNumberFormat="1" applyFont="1" applyFill="1" applyAlignment="1">
      <alignment vertical="center"/>
    </xf>
    <xf numFmtId="182" fontId="10" fillId="0" borderId="0" xfId="0" applyNumberFormat="1" applyFont="1" applyFill="1" applyAlignment="1">
      <alignment horizontal="right" wrapText="1"/>
    </xf>
    <xf numFmtId="182" fontId="1" fillId="0" borderId="0" xfId="0" applyNumberFormat="1" applyFont="1" applyFill="1" applyAlignment="1">
      <alignment vertical="center" wrapText="1"/>
    </xf>
    <xf numFmtId="182" fontId="1" fillId="0" borderId="7" xfId="0" applyNumberFormat="1" applyFont="1" applyFill="1" applyBorder="1" applyAlignment="1">
      <alignment vertical="center" wrapText="1"/>
    </xf>
    <xf numFmtId="183" fontId="2" fillId="0" borderId="1" xfId="1" applyNumberFormat="1" applyFont="1" applyFill="1" applyBorder="1" applyAlignment="1">
      <alignment vertical="center"/>
    </xf>
    <xf numFmtId="0" fontId="1" fillId="0" borderId="0" xfId="1" applyFont="1" applyFill="1" applyAlignment="1">
      <alignment horizontal="right"/>
    </xf>
    <xf numFmtId="183" fontId="2" fillId="0" borderId="0" xfId="1" applyNumberFormat="1" applyFont="1" applyFill="1"/>
    <xf numFmtId="0" fontId="0" fillId="0" borderId="0" xfId="0" applyFill="1"/>
    <xf numFmtId="18" fontId="3" fillId="0" borderId="0" xfId="0" applyNumberFormat="1" applyFont="1" applyFill="1"/>
    <xf numFmtId="183" fontId="1" fillId="0" borderId="0" xfId="0" applyNumberFormat="1" applyFont="1" applyFill="1" applyAlignment="1">
      <alignment horizontal="right"/>
    </xf>
    <xf numFmtId="0" fontId="2" fillId="0" borderId="0" xfId="0" applyFont="1" applyFill="1" applyAlignment="1">
      <alignment horizontal="right"/>
    </xf>
    <xf numFmtId="183" fontId="1" fillId="0" borderId="1" xfId="0" applyNumberFormat="1" applyFont="1" applyFill="1" applyBorder="1" applyAlignment="1">
      <alignment horizontal="center" vertical="center" wrapText="1"/>
    </xf>
    <xf numFmtId="49" fontId="5" fillId="0" borderId="1" xfId="0" applyNumberFormat="1" applyFont="1" applyFill="1" applyBorder="1" applyAlignment="1">
      <alignment vertical="center" wrapText="1"/>
    </xf>
    <xf numFmtId="0" fontId="1" fillId="0" borderId="1" xfId="0" applyFont="1" applyFill="1" applyBorder="1" applyAlignment="1">
      <alignment vertical="center"/>
    </xf>
    <xf numFmtId="49" fontId="1"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182" fontId="1" fillId="0" borderId="0" xfId="0" applyNumberFormat="1" applyFont="1" applyFill="1" applyAlignment="1">
      <alignment horizontal="left"/>
    </xf>
    <xf numFmtId="183" fontId="5" fillId="0" borderId="1" xfId="0" applyNumberFormat="1" applyFont="1" applyFill="1" applyBorder="1" applyAlignment="1">
      <alignment horizontal="right" vertical="center" wrapText="1"/>
    </xf>
    <xf numFmtId="182" fontId="11" fillId="0" borderId="0" xfId="0" applyNumberFormat="1" applyFont="1" applyFill="1"/>
    <xf numFmtId="183" fontId="5" fillId="0" borderId="1" xfId="0" applyNumberFormat="1" applyFont="1" applyFill="1" applyBorder="1" applyAlignment="1">
      <alignment horizontal="right" vertical="center"/>
    </xf>
    <xf numFmtId="0" fontId="5" fillId="0" borderId="1" xfId="0" applyFont="1" applyFill="1" applyBorder="1" applyAlignment="1">
      <alignment vertical="center" wrapText="1"/>
    </xf>
    <xf numFmtId="49" fontId="2" fillId="0" borderId="1" xfId="0" applyNumberFormat="1" applyFont="1" applyFill="1" applyBorder="1" applyAlignment="1">
      <alignment horizontal="right" vertical="center" wrapText="1"/>
    </xf>
    <xf numFmtId="49" fontId="1" fillId="0" borderId="0" xfId="0" applyNumberFormat="1" applyFont="1" applyFill="1" applyAlignment="1">
      <alignment horizontal="right" vertical="center"/>
    </xf>
    <xf numFmtId="0" fontId="1" fillId="0" borderId="0" xfId="0" applyFont="1" applyFill="1" applyAlignment="1">
      <alignment horizontal="right" vertical="center" wrapText="1"/>
    </xf>
    <xf numFmtId="49" fontId="1" fillId="0" borderId="0" xfId="0" applyNumberFormat="1" applyFont="1" applyFill="1" applyAlignment="1">
      <alignment vertical="center"/>
    </xf>
    <xf numFmtId="0" fontId="4" fillId="0" borderId="0" xfId="0"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right" vertical="center"/>
    </xf>
    <xf numFmtId="49" fontId="5" fillId="0" borderId="1" xfId="0" applyNumberFormat="1" applyFont="1" applyFill="1" applyBorder="1" applyAlignment="1">
      <alignment horizontal="left" vertical="center" wrapText="1"/>
    </xf>
    <xf numFmtId="182" fontId="5" fillId="0" borderId="1" xfId="0" applyNumberFormat="1" applyFont="1" applyFill="1" applyBorder="1" applyAlignment="1">
      <alignment horizontal="left" vertical="center" wrapText="1"/>
    </xf>
    <xf numFmtId="182" fontId="1" fillId="0" borderId="1" xfId="19" applyNumberFormat="1" applyFill="1" applyBorder="1" applyAlignment="1">
      <alignment vertical="center" wrapText="1"/>
    </xf>
    <xf numFmtId="49" fontId="1"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center" wrapText="1"/>
    </xf>
    <xf numFmtId="182" fontId="1" fillId="0" borderId="1" xfId="19" applyNumberFormat="1" applyFill="1" applyBorder="1" applyAlignment="1">
      <alignment vertical="center"/>
    </xf>
    <xf numFmtId="49" fontId="1" fillId="0" borderId="1" xfId="19" applyNumberFormat="1" applyFill="1" applyBorder="1" applyAlignment="1">
      <alignment horizontal="center" vertical="center"/>
    </xf>
    <xf numFmtId="188" fontId="2"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0" xfId="0" applyNumberFormat="1" applyFont="1" applyFill="1" applyAlignment="1">
      <alignment horizontal="left" vertical="center" wrapText="1"/>
    </xf>
    <xf numFmtId="182" fontId="5" fillId="0" borderId="0" xfId="0" applyNumberFormat="1" applyFont="1" applyFill="1" applyAlignment="1">
      <alignment horizontal="left" vertical="center" wrapText="1"/>
    </xf>
    <xf numFmtId="182" fontId="5" fillId="0" borderId="0" xfId="0" applyNumberFormat="1" applyFont="1" applyFill="1" applyAlignment="1">
      <alignment vertical="center" wrapText="1"/>
    </xf>
    <xf numFmtId="49" fontId="1" fillId="0" borderId="0" xfId="0" applyNumberFormat="1" applyFont="1" applyFill="1" applyAlignment="1">
      <alignment vertical="center" wrapText="1"/>
    </xf>
    <xf numFmtId="182" fontId="14" fillId="0" borderId="0" xfId="0" applyNumberFormat="1" applyFont="1" applyFill="1"/>
    <xf numFmtId="182" fontId="14" fillId="0" borderId="0" xfId="0" applyNumberFormat="1" applyFont="1" applyFill="1" applyAlignment="1">
      <alignment horizontal="center"/>
    </xf>
    <xf numFmtId="183" fontId="14" fillId="0" borderId="0" xfId="0" applyNumberFormat="1" applyFont="1" applyFill="1"/>
    <xf numFmtId="0" fontId="14" fillId="0" borderId="0" xfId="0" applyFont="1" applyFill="1"/>
    <xf numFmtId="0" fontId="3" fillId="0" borderId="0" xfId="1" applyFont="1" applyFill="1"/>
    <xf numFmtId="0" fontId="3" fillId="0" borderId="0" xfId="1" applyFont="1" applyFill="1" applyAlignment="1">
      <alignment horizontal="left"/>
    </xf>
    <xf numFmtId="0" fontId="3" fillId="0" borderId="0" xfId="1" applyFont="1" applyFill="1" applyAlignment="1">
      <alignment horizontal="right"/>
    </xf>
    <xf numFmtId="0" fontId="3" fillId="0" borderId="0" xfId="0" applyFont="1" applyFill="1" applyAlignment="1">
      <alignment horizontal="center"/>
    </xf>
    <xf numFmtId="0" fontId="3" fillId="0" borderId="0" xfId="0" applyFont="1" applyFill="1" applyAlignment="1">
      <alignment horizontal="right" vertical="center"/>
    </xf>
    <xf numFmtId="49" fontId="2" fillId="0" borderId="0" xfId="0" applyNumberFormat="1" applyFont="1" applyFill="1" applyAlignment="1">
      <alignment horizontal="center" vertical="center" wrapText="1"/>
    </xf>
    <xf numFmtId="0" fontId="1" fillId="0" borderId="3" xfId="0" applyFont="1" applyFill="1" applyBorder="1" applyAlignment="1">
      <alignment horizontal="right" vertical="center"/>
    </xf>
    <xf numFmtId="0" fontId="1" fillId="0" borderId="8" xfId="0" applyFont="1" applyFill="1" applyBorder="1" applyAlignment="1">
      <alignment horizontal="right" vertical="center"/>
    </xf>
    <xf numFmtId="49" fontId="1" fillId="0" borderId="3"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0" fontId="1" fillId="0" borderId="3"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xf>
    <xf numFmtId="49" fontId="1" fillId="0" borderId="3"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0" fontId="1" fillId="0" borderId="1" xfId="0" applyFont="1" applyFill="1" applyBorder="1" applyAlignment="1">
      <alignment horizontal="right" vertic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xf>
    <xf numFmtId="49" fontId="8" fillId="0" borderId="9"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0" fontId="1" fillId="0" borderId="9" xfId="0" applyFont="1" applyFill="1" applyBorder="1" applyAlignment="1">
      <alignment horizontal="right" vertical="center"/>
    </xf>
    <xf numFmtId="49" fontId="2" fillId="0" borderId="3"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0" fontId="2" fillId="0" borderId="0" xfId="0" applyFont="1" applyFill="1" applyAlignment="1">
      <alignment horizontal="center" vertical="center" wrapText="1"/>
    </xf>
  </cellXfs>
  <cellStyles count="21">
    <cellStyle name="Įprastas" xfId="0" builtinId="0"/>
    <cellStyle name="Įprastas 2" xfId="1"/>
    <cellStyle name="Įprastas 3" xfId="2"/>
    <cellStyle name="Įprastas 4" xfId="3"/>
    <cellStyle name="Įprastas 5" xfId="4"/>
    <cellStyle name="Kablelis 2" xfId="5"/>
    <cellStyle name="Kablelis 2 2" xfId="6"/>
    <cellStyle name="Kablelis 2 2 2" xfId="7"/>
    <cellStyle name="Kablelis 3" xfId="8"/>
    <cellStyle name="Kablelis 4" xfId="9"/>
    <cellStyle name="Kablelis 4 2" xfId="10"/>
    <cellStyle name="Kablelis 4 3" xfId="11"/>
    <cellStyle name="Kablelis 4 3 2" xfId="12"/>
    <cellStyle name="Kablelis 5" xfId="13"/>
    <cellStyle name="Kablelis 5 2" xfId="14"/>
    <cellStyle name="Normal 2" xfId="15"/>
    <cellStyle name="Normal 3" xfId="16"/>
    <cellStyle name="Normal_biudžetas 6" xfId="17"/>
    <cellStyle name="Normal_biudžetas 6_2009 m 02 men biudzetas." xfId="18"/>
    <cellStyle name="Normal_Sheet1_2009 m 02 men biudzetas." xfId="19"/>
    <cellStyle name="Paprastas 2"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haredStrings" Target="sharedStrings.xml"/><Relationship Id="rId3" Type="http://purl.oclc.org/ooxml/officeDocument/relationships/worksheet" Target="worksheets/sheet3.xml"/><Relationship Id="rId7"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theme" Target="theme/theme1.xml"/><Relationship Id="rId5" Type="http://purl.oclc.org/ooxml/officeDocument/relationships/worksheet" Target="worksheets/sheet5.xml"/><Relationship Id="rId4" Type="http://purl.oclc.org/ooxml/officeDocument/relationships/worksheet" Target="worksheets/sheet4.xml"/><Relationship Id="rId9" Type="http://purl.oclc.org/ooxml/officeDocument/relationships/calcChain" Target="calcChain.xml"/></Relationships>
</file>

<file path=xl/theme/theme1.xml><?xml version="1.0" encoding="utf-8"?>
<a:theme xmlns:a="http://purl.oclc.org/ooxml/drawingml/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128"/>
  <sheetViews>
    <sheetView workbookViewId="0">
      <selection activeCell="E5" sqref="E5"/>
    </sheetView>
  </sheetViews>
  <sheetFormatPr defaultColWidth="9.109375" defaultRowHeight="13.2" x14ac:dyDescent="0.25"/>
  <cols>
    <col min="1" max="1" width="6.33203125" style="3" customWidth="1"/>
    <col min="2" max="2" width="62" style="2" customWidth="1"/>
    <col min="3" max="3" width="14.5546875" style="2" bestFit="1" customWidth="1"/>
    <col min="4" max="4" width="9.33203125" style="2" customWidth="1"/>
    <col min="5" max="5" width="11.6640625" style="2" bestFit="1" customWidth="1"/>
    <col min="6" max="6" width="15.109375" style="2" customWidth="1"/>
    <col min="7" max="16384" width="9.109375" style="2"/>
  </cols>
  <sheetData>
    <row r="1" spans="1:15" ht="15.6" x14ac:dyDescent="0.3">
      <c r="A1" s="100"/>
      <c r="B1" s="171" t="s">
        <v>445</v>
      </c>
      <c r="C1" s="171"/>
    </row>
    <row r="2" spans="1:15" ht="15.6" x14ac:dyDescent="0.3">
      <c r="A2" s="100"/>
      <c r="B2" s="172" t="s">
        <v>847</v>
      </c>
      <c r="C2" s="172"/>
    </row>
    <row r="3" spans="1:15" ht="15.6" x14ac:dyDescent="0.3">
      <c r="A3" s="173" t="s">
        <v>385</v>
      </c>
      <c r="B3" s="173"/>
      <c r="C3" s="173"/>
    </row>
    <row r="4" spans="1:15" ht="15.6" x14ac:dyDescent="0.3">
      <c r="A4" s="102"/>
      <c r="B4" s="101"/>
      <c r="C4" s="101"/>
    </row>
    <row r="5" spans="1:15" x14ac:dyDescent="0.25">
      <c r="A5" s="100"/>
      <c r="B5" s="103" t="s">
        <v>618</v>
      </c>
      <c r="C5" s="104"/>
    </row>
    <row r="6" spans="1:15" x14ac:dyDescent="0.25">
      <c r="A6" s="100"/>
      <c r="B6" s="104"/>
      <c r="C6" s="104"/>
    </row>
    <row r="7" spans="1:15" s="3" customFormat="1" x14ac:dyDescent="0.25">
      <c r="A7" s="105" t="s">
        <v>0</v>
      </c>
      <c r="B7" s="106" t="s">
        <v>386</v>
      </c>
      <c r="C7" s="106" t="s">
        <v>387</v>
      </c>
    </row>
    <row r="8" spans="1:15" ht="12.6" customHeight="1" x14ac:dyDescent="0.25">
      <c r="A8" s="107">
        <v>1</v>
      </c>
      <c r="B8" s="105" t="s">
        <v>511</v>
      </c>
      <c r="C8" s="108">
        <f>+C9+C10+C11+C15</f>
        <v>37302.300000000003</v>
      </c>
      <c r="D8" s="4"/>
      <c r="E8" s="4"/>
      <c r="G8" s="36"/>
    </row>
    <row r="9" spans="1:15" ht="12.6" customHeight="1" x14ac:dyDescent="0.25">
      <c r="A9" s="107">
        <v>2</v>
      </c>
      <c r="B9" s="105" t="s">
        <v>388</v>
      </c>
      <c r="C9" s="109">
        <f>33430+844+40</f>
        <v>34314</v>
      </c>
      <c r="D9" s="4"/>
      <c r="E9" s="36"/>
      <c r="G9" s="36"/>
    </row>
    <row r="10" spans="1:15" ht="26.4" x14ac:dyDescent="0.25">
      <c r="A10" s="107">
        <v>3</v>
      </c>
      <c r="B10" s="110" t="s">
        <v>512</v>
      </c>
      <c r="C10" s="109">
        <v>61</v>
      </c>
      <c r="D10" s="4"/>
      <c r="E10" s="36"/>
      <c r="F10" s="37"/>
    </row>
    <row r="11" spans="1:15" ht="12.6" customHeight="1" x14ac:dyDescent="0.25">
      <c r="A11" s="107">
        <v>4</v>
      </c>
      <c r="B11" s="105" t="s">
        <v>513</v>
      </c>
      <c r="C11" s="109">
        <f>+C12+C14+C13</f>
        <v>2732.3</v>
      </c>
      <c r="F11" s="37"/>
      <c r="G11" s="36"/>
    </row>
    <row r="12" spans="1:15" ht="12.6" customHeight="1" x14ac:dyDescent="0.25">
      <c r="A12" s="107">
        <v>5</v>
      </c>
      <c r="B12" s="111" t="s">
        <v>389</v>
      </c>
      <c r="C12" s="32">
        <v>900</v>
      </c>
      <c r="D12" s="4"/>
      <c r="F12" s="38"/>
      <c r="G12" s="36"/>
    </row>
    <row r="13" spans="1:15" ht="12.6" customHeight="1" x14ac:dyDescent="0.25">
      <c r="A13" s="107">
        <v>6</v>
      </c>
      <c r="B13" s="111" t="s">
        <v>390</v>
      </c>
      <c r="C13" s="32">
        <v>15</v>
      </c>
      <c r="D13" s="4"/>
      <c r="F13" s="38"/>
    </row>
    <row r="14" spans="1:15" ht="12.6" customHeight="1" x14ac:dyDescent="0.25">
      <c r="A14" s="107">
        <v>7</v>
      </c>
      <c r="B14" s="111" t="s">
        <v>391</v>
      </c>
      <c r="C14" s="32">
        <f>1500+314.2+3.1</f>
        <v>1817.3</v>
      </c>
      <c r="D14" s="4"/>
      <c r="F14" s="37"/>
      <c r="O14" s="4"/>
    </row>
    <row r="15" spans="1:15" ht="12.6" customHeight="1" x14ac:dyDescent="0.25">
      <c r="A15" s="107">
        <v>8</v>
      </c>
      <c r="B15" s="105" t="s">
        <v>514</v>
      </c>
      <c r="C15" s="108">
        <f>+C16</f>
        <v>195</v>
      </c>
      <c r="D15" s="4"/>
    </row>
    <row r="16" spans="1:15" ht="12.6" customHeight="1" x14ac:dyDescent="0.25">
      <c r="A16" s="107">
        <v>9</v>
      </c>
      <c r="B16" s="111" t="s">
        <v>392</v>
      </c>
      <c r="C16" s="32">
        <v>195</v>
      </c>
      <c r="D16" s="4"/>
      <c r="E16" s="112"/>
    </row>
    <row r="17" spans="1:8" x14ac:dyDescent="0.25">
      <c r="A17" s="107">
        <v>10</v>
      </c>
      <c r="B17" s="105" t="s">
        <v>515</v>
      </c>
      <c r="C17" s="108">
        <f>+C21+C50+C18</f>
        <v>32845.5</v>
      </c>
      <c r="D17" s="4"/>
    </row>
    <row r="18" spans="1:8" ht="26.4" x14ac:dyDescent="0.25">
      <c r="A18" s="107">
        <v>11</v>
      </c>
      <c r="B18" s="110" t="s">
        <v>516</v>
      </c>
      <c r="C18" s="108">
        <f>+C19+C20</f>
        <v>1894.8</v>
      </c>
      <c r="D18" s="4"/>
    </row>
    <row r="19" spans="1:8" ht="26.4" x14ac:dyDescent="0.25">
      <c r="A19" s="107" t="s">
        <v>34</v>
      </c>
      <c r="B19" s="113" t="s">
        <v>393</v>
      </c>
      <c r="C19" s="32">
        <f>924.8+12+20.2+25+11.8+242.3+652.4-35-12</f>
        <v>1841.5</v>
      </c>
      <c r="D19" s="4"/>
      <c r="E19" s="167"/>
      <c r="F19" s="112"/>
      <c r="H19" s="36"/>
    </row>
    <row r="20" spans="1:8" ht="26.4" x14ac:dyDescent="0.25">
      <c r="A20" s="107" t="s">
        <v>35</v>
      </c>
      <c r="B20" s="113" t="s">
        <v>394</v>
      </c>
      <c r="C20" s="32">
        <f>287.7+1.3-136.2-141+41.5</f>
        <v>53.300000000000011</v>
      </c>
      <c r="D20" s="4"/>
      <c r="E20" s="112"/>
      <c r="F20" s="112"/>
      <c r="H20" s="36"/>
    </row>
    <row r="21" spans="1:8" ht="12.6" customHeight="1" x14ac:dyDescent="0.25">
      <c r="A21" s="107">
        <v>12</v>
      </c>
      <c r="B21" s="105" t="s">
        <v>517</v>
      </c>
      <c r="C21" s="109">
        <f>+C22+C47+C48</f>
        <v>23743.7</v>
      </c>
      <c r="D21" s="4"/>
    </row>
    <row r="22" spans="1:8" ht="12.6" customHeight="1" x14ac:dyDescent="0.25">
      <c r="A22" s="107">
        <v>13</v>
      </c>
      <c r="B22" s="111" t="s">
        <v>518</v>
      </c>
      <c r="C22" s="32">
        <f>SUM(C23:C46)</f>
        <v>6173.1</v>
      </c>
      <c r="D22" s="4"/>
      <c r="E22" s="112"/>
      <c r="F22" s="39"/>
    </row>
    <row r="23" spans="1:8" ht="12.6" customHeight="1" x14ac:dyDescent="0.25">
      <c r="A23" s="114" t="s">
        <v>358</v>
      </c>
      <c r="B23" s="111" t="s">
        <v>395</v>
      </c>
      <c r="C23" s="32">
        <v>30.1</v>
      </c>
      <c r="D23" s="4"/>
      <c r="E23" s="112"/>
      <c r="G23" s="4"/>
    </row>
    <row r="24" spans="1:8" ht="12.6" customHeight="1" x14ac:dyDescent="0.25">
      <c r="A24" s="107" t="s">
        <v>519</v>
      </c>
      <c r="B24" s="111" t="s">
        <v>396</v>
      </c>
      <c r="C24" s="32">
        <v>8.5</v>
      </c>
      <c r="D24" s="4"/>
      <c r="E24" s="112"/>
      <c r="G24" s="4"/>
    </row>
    <row r="25" spans="1:8" ht="12.6" customHeight="1" x14ac:dyDescent="0.25">
      <c r="A25" s="114" t="s">
        <v>520</v>
      </c>
      <c r="B25" s="111" t="s">
        <v>397</v>
      </c>
      <c r="C25" s="32">
        <f>374.4+23.7-10.2-35.4-8.6</f>
        <v>343.9</v>
      </c>
      <c r="E25" s="167"/>
      <c r="F25" s="169"/>
      <c r="G25" s="4"/>
    </row>
    <row r="26" spans="1:8" ht="12.6" customHeight="1" x14ac:dyDescent="0.25">
      <c r="A26" s="107" t="s">
        <v>521</v>
      </c>
      <c r="B26" s="111" t="s">
        <v>398</v>
      </c>
      <c r="C26" s="32">
        <f>797.6+70.7+74.2</f>
        <v>942.50000000000011</v>
      </c>
      <c r="E26" s="167"/>
    </row>
    <row r="27" spans="1:8" ht="12.6" customHeight="1" x14ac:dyDescent="0.25">
      <c r="A27" s="114" t="s">
        <v>522</v>
      </c>
      <c r="B27" s="111" t="s">
        <v>399</v>
      </c>
      <c r="C27" s="32">
        <f>882.7+828.8+60.6+100+55+73+50+119</f>
        <v>2169.1</v>
      </c>
      <c r="D27" s="4"/>
      <c r="E27" s="4"/>
      <c r="F27" s="170"/>
      <c r="G27" s="4"/>
    </row>
    <row r="28" spans="1:8" x14ac:dyDescent="0.25">
      <c r="A28" s="107" t="s">
        <v>523</v>
      </c>
      <c r="B28" s="111" t="s">
        <v>400</v>
      </c>
      <c r="C28" s="32">
        <f>19.8+0.2</f>
        <v>20</v>
      </c>
      <c r="D28" s="4"/>
    </row>
    <row r="29" spans="1:8" ht="26.4" x14ac:dyDescent="0.25">
      <c r="A29" s="114" t="s">
        <v>524</v>
      </c>
      <c r="B29" s="113" t="s">
        <v>401</v>
      </c>
      <c r="C29" s="32">
        <v>8.9</v>
      </c>
      <c r="D29" s="4"/>
      <c r="E29" s="39"/>
    </row>
    <row r="30" spans="1:8" ht="12.6" customHeight="1" x14ac:dyDescent="0.25">
      <c r="A30" s="107" t="s">
        <v>525</v>
      </c>
      <c r="B30" s="115" t="s">
        <v>402</v>
      </c>
      <c r="C30" s="32">
        <f>139.1+14</f>
        <v>153.1</v>
      </c>
      <c r="D30" s="4"/>
    </row>
    <row r="31" spans="1:8" ht="12.6" customHeight="1" x14ac:dyDescent="0.25">
      <c r="A31" s="114" t="s">
        <v>526</v>
      </c>
      <c r="B31" s="115" t="s">
        <v>403</v>
      </c>
      <c r="C31" s="32">
        <v>33.700000000000003</v>
      </c>
      <c r="D31" s="4"/>
    </row>
    <row r="32" spans="1:8" ht="12.6" customHeight="1" x14ac:dyDescent="0.25">
      <c r="A32" s="107" t="s">
        <v>527</v>
      </c>
      <c r="B32" s="115" t="s">
        <v>404</v>
      </c>
      <c r="C32" s="32">
        <v>14.5</v>
      </c>
      <c r="D32" s="4"/>
    </row>
    <row r="33" spans="1:7" ht="12.6" customHeight="1" x14ac:dyDescent="0.25">
      <c r="A33" s="114" t="s">
        <v>528</v>
      </c>
      <c r="B33" s="115" t="s">
        <v>405</v>
      </c>
      <c r="C33" s="32">
        <v>0.8</v>
      </c>
      <c r="D33" s="4"/>
    </row>
    <row r="34" spans="1:7" ht="12.6" customHeight="1" x14ac:dyDescent="0.25">
      <c r="A34" s="107" t="s">
        <v>529</v>
      </c>
      <c r="B34" s="115" t="s">
        <v>406</v>
      </c>
      <c r="C34" s="32">
        <v>46.5</v>
      </c>
      <c r="D34" s="4"/>
    </row>
    <row r="35" spans="1:7" x14ac:dyDescent="0.25">
      <c r="A35" s="114" t="s">
        <v>530</v>
      </c>
      <c r="B35" s="115" t="s">
        <v>407</v>
      </c>
      <c r="C35" s="32">
        <f>1176.9+32</f>
        <v>1208.9000000000001</v>
      </c>
      <c r="D35" s="4"/>
    </row>
    <row r="36" spans="1:7" ht="12.6" customHeight="1" x14ac:dyDescent="0.25">
      <c r="A36" s="107" t="s">
        <v>531</v>
      </c>
      <c r="B36" s="115" t="s">
        <v>408</v>
      </c>
      <c r="C36" s="32">
        <v>6.8</v>
      </c>
      <c r="D36" s="4"/>
    </row>
    <row r="37" spans="1:7" ht="12.6" customHeight="1" x14ac:dyDescent="0.25">
      <c r="A37" s="114" t="s">
        <v>532</v>
      </c>
      <c r="B37" s="115" t="s">
        <v>409</v>
      </c>
      <c r="C37" s="32">
        <v>190.7</v>
      </c>
      <c r="D37" s="4"/>
    </row>
    <row r="38" spans="1:7" ht="12.6" customHeight="1" x14ac:dyDescent="0.25">
      <c r="A38" s="107" t="s">
        <v>533</v>
      </c>
      <c r="B38" s="111" t="s">
        <v>410</v>
      </c>
      <c r="C38" s="32">
        <f>358+1.9</f>
        <v>359.9</v>
      </c>
      <c r="D38" s="4"/>
    </row>
    <row r="39" spans="1:7" ht="26.4" x14ac:dyDescent="0.25">
      <c r="A39" s="114" t="s">
        <v>534</v>
      </c>
      <c r="B39" s="113" t="s">
        <v>535</v>
      </c>
      <c r="C39" s="32">
        <v>0.3</v>
      </c>
      <c r="D39" s="4"/>
    </row>
    <row r="40" spans="1:7" ht="12.6" customHeight="1" x14ac:dyDescent="0.25">
      <c r="A40" s="107" t="s">
        <v>536</v>
      </c>
      <c r="B40" s="111" t="s">
        <v>411</v>
      </c>
      <c r="C40" s="32">
        <v>22.1</v>
      </c>
      <c r="D40" s="4"/>
    </row>
    <row r="41" spans="1:7" ht="12.6" customHeight="1" x14ac:dyDescent="0.25">
      <c r="A41" s="114" t="s">
        <v>537</v>
      </c>
      <c r="B41" s="111" t="s">
        <v>412</v>
      </c>
      <c r="C41" s="32">
        <v>46.7</v>
      </c>
      <c r="D41" s="4"/>
    </row>
    <row r="42" spans="1:7" ht="12.6" customHeight="1" x14ac:dyDescent="0.25">
      <c r="A42" s="107" t="s">
        <v>538</v>
      </c>
      <c r="B42" s="113" t="s">
        <v>413</v>
      </c>
      <c r="C42" s="32">
        <v>1.3</v>
      </c>
      <c r="D42" s="4"/>
    </row>
    <row r="43" spans="1:7" ht="26.4" x14ac:dyDescent="0.25">
      <c r="A43" s="114" t="s">
        <v>539</v>
      </c>
      <c r="B43" s="113" t="s">
        <v>540</v>
      </c>
      <c r="C43" s="32">
        <v>452.5</v>
      </c>
      <c r="D43" s="4"/>
    </row>
    <row r="44" spans="1:7" ht="15.75" customHeight="1" x14ac:dyDescent="0.25">
      <c r="A44" s="107" t="s">
        <v>541</v>
      </c>
      <c r="B44" s="113" t="s">
        <v>414</v>
      </c>
      <c r="C44" s="32">
        <v>2.5</v>
      </c>
      <c r="D44" s="4"/>
    </row>
    <row r="45" spans="1:7" x14ac:dyDescent="0.25">
      <c r="A45" s="114" t="s">
        <v>542</v>
      </c>
      <c r="B45" s="113" t="s">
        <v>415</v>
      </c>
      <c r="C45" s="32">
        <v>91</v>
      </c>
      <c r="D45" s="4"/>
    </row>
    <row r="46" spans="1:7" ht="39.6" x14ac:dyDescent="0.25">
      <c r="A46" s="107" t="s">
        <v>543</v>
      </c>
      <c r="B46" s="113" t="s">
        <v>544</v>
      </c>
      <c r="C46" s="32">
        <v>18.8</v>
      </c>
      <c r="D46" s="4"/>
    </row>
    <row r="47" spans="1:7" x14ac:dyDescent="0.25">
      <c r="A47" s="107">
        <v>14</v>
      </c>
      <c r="B47" s="111" t="s">
        <v>545</v>
      </c>
      <c r="C47" s="32">
        <f>17141-275.4+146.3</f>
        <v>17011.899999999998</v>
      </c>
      <c r="D47" s="4"/>
      <c r="E47" s="112"/>
      <c r="F47" s="39"/>
      <c r="G47" s="4"/>
    </row>
    <row r="48" spans="1:7" ht="12.6" customHeight="1" x14ac:dyDescent="0.25">
      <c r="A48" s="107">
        <v>15</v>
      </c>
      <c r="B48" s="111" t="s">
        <v>416</v>
      </c>
      <c r="C48" s="116">
        <f>+C49</f>
        <v>558.70000000000005</v>
      </c>
      <c r="D48" s="4"/>
      <c r="E48" s="112"/>
      <c r="F48" s="39"/>
      <c r="G48" s="4"/>
    </row>
    <row r="49" spans="1:7" ht="12.6" customHeight="1" x14ac:dyDescent="0.25">
      <c r="A49" s="117" t="s">
        <v>195</v>
      </c>
      <c r="B49" s="113" t="s">
        <v>418</v>
      </c>
      <c r="C49" s="32">
        <v>558.70000000000005</v>
      </c>
      <c r="D49" s="4"/>
      <c r="F49" s="39"/>
      <c r="G49" s="4"/>
    </row>
    <row r="50" spans="1:7" ht="12.6" customHeight="1" x14ac:dyDescent="0.25">
      <c r="A50" s="107">
        <v>16</v>
      </c>
      <c r="B50" s="105" t="s">
        <v>419</v>
      </c>
      <c r="C50" s="109">
        <f>SUM(C51:C82)</f>
        <v>7207.0000000000009</v>
      </c>
      <c r="D50" s="4"/>
      <c r="E50" s="4"/>
    </row>
    <row r="51" spans="1:7" x14ac:dyDescent="0.25">
      <c r="A51" s="107" t="s">
        <v>449</v>
      </c>
      <c r="B51" s="113" t="s">
        <v>420</v>
      </c>
      <c r="C51" s="32">
        <v>270.89999999999998</v>
      </c>
      <c r="D51" s="118"/>
      <c r="E51" s="112"/>
    </row>
    <row r="52" spans="1:7" ht="39.6" x14ac:dyDescent="0.25">
      <c r="A52" s="107" t="s">
        <v>546</v>
      </c>
      <c r="B52" s="113" t="s">
        <v>589</v>
      </c>
      <c r="C52" s="32">
        <v>209</v>
      </c>
      <c r="D52" s="118"/>
      <c r="E52" s="112"/>
    </row>
    <row r="53" spans="1:7" ht="34.200000000000003" customHeight="1" x14ac:dyDescent="0.25">
      <c r="A53" s="107" t="s">
        <v>547</v>
      </c>
      <c r="B53" s="113" t="s">
        <v>548</v>
      </c>
      <c r="C53" s="32">
        <v>3.2</v>
      </c>
      <c r="D53" s="118"/>
      <c r="E53" s="112"/>
    </row>
    <row r="54" spans="1:7" x14ac:dyDescent="0.25">
      <c r="A54" s="107" t="s">
        <v>549</v>
      </c>
      <c r="B54" s="113" t="s">
        <v>550</v>
      </c>
      <c r="C54" s="32">
        <v>55.5</v>
      </c>
      <c r="D54" s="118"/>
      <c r="E54" s="112"/>
    </row>
    <row r="55" spans="1:7" ht="26.4" x14ac:dyDescent="0.25">
      <c r="A55" s="107" t="s">
        <v>551</v>
      </c>
      <c r="B55" s="113" t="s">
        <v>552</v>
      </c>
      <c r="C55" s="32">
        <f>134.6+15.6+0.7</f>
        <v>150.89999999999998</v>
      </c>
      <c r="D55" s="6"/>
      <c r="E55" s="112"/>
    </row>
    <row r="56" spans="1:7" ht="52.8" x14ac:dyDescent="0.25">
      <c r="A56" s="107" t="s">
        <v>553</v>
      </c>
      <c r="B56" s="113" t="s">
        <v>594</v>
      </c>
      <c r="C56" s="32">
        <v>371.2</v>
      </c>
      <c r="D56" s="118"/>
      <c r="E56" s="112"/>
    </row>
    <row r="57" spans="1:7" ht="39.6" x14ac:dyDescent="0.25">
      <c r="A57" s="107" t="s">
        <v>554</v>
      </c>
      <c r="B57" s="113" t="s">
        <v>686</v>
      </c>
      <c r="C57" s="32">
        <v>436.3</v>
      </c>
      <c r="D57" s="118"/>
      <c r="E57" s="112"/>
    </row>
    <row r="58" spans="1:7" ht="39.6" x14ac:dyDescent="0.25">
      <c r="A58" s="107" t="s">
        <v>563</v>
      </c>
      <c r="B58" s="113" t="s">
        <v>555</v>
      </c>
      <c r="C58" s="32">
        <v>62</v>
      </c>
      <c r="D58" s="118"/>
      <c r="E58" s="112"/>
      <c r="G58" s="119"/>
    </row>
    <row r="59" spans="1:7" ht="26.4" x14ac:dyDescent="0.25">
      <c r="A59" s="107" t="s">
        <v>590</v>
      </c>
      <c r="B59" s="113" t="s">
        <v>606</v>
      </c>
      <c r="C59" s="32">
        <f>150.4-144.2</f>
        <v>6.2000000000000171</v>
      </c>
      <c r="D59" s="118"/>
      <c r="E59" s="112"/>
      <c r="G59" s="119"/>
    </row>
    <row r="60" spans="1:7" ht="26.4" x14ac:dyDescent="0.25">
      <c r="A60" s="107" t="s">
        <v>591</v>
      </c>
      <c r="B60" s="113" t="s">
        <v>607</v>
      </c>
      <c r="C60" s="32">
        <v>135.4</v>
      </c>
      <c r="D60" s="118"/>
      <c r="E60" s="112"/>
      <c r="G60" s="119"/>
    </row>
    <row r="61" spans="1:7" ht="26.4" x14ac:dyDescent="0.25">
      <c r="A61" s="107" t="s">
        <v>604</v>
      </c>
      <c r="B61" s="113" t="s">
        <v>611</v>
      </c>
      <c r="C61" s="32">
        <f>24.8+2.2-3.9</f>
        <v>23.1</v>
      </c>
      <c r="D61" s="118"/>
      <c r="E61" s="112"/>
      <c r="G61" s="119"/>
    </row>
    <row r="62" spans="1:7" ht="39.6" x14ac:dyDescent="0.25">
      <c r="A62" s="107" t="s">
        <v>605</v>
      </c>
      <c r="B62" s="113" t="s">
        <v>612</v>
      </c>
      <c r="C62" s="32">
        <v>84.1</v>
      </c>
      <c r="D62" s="118"/>
      <c r="E62" s="112"/>
      <c r="G62" s="119"/>
    </row>
    <row r="63" spans="1:7" x14ac:dyDescent="0.25">
      <c r="A63" s="107" t="s">
        <v>610</v>
      </c>
      <c r="B63" s="113" t="s">
        <v>646</v>
      </c>
      <c r="C63" s="32">
        <v>8.1999999999999993</v>
      </c>
      <c r="D63" s="118"/>
      <c r="E63" s="112"/>
      <c r="G63" s="119"/>
    </row>
    <row r="64" spans="1:7" ht="26.4" x14ac:dyDescent="0.25">
      <c r="A64" s="107" t="s">
        <v>628</v>
      </c>
      <c r="B64" s="113" t="s">
        <v>593</v>
      </c>
      <c r="C64" s="32">
        <f>550+474+150+381</f>
        <v>1555</v>
      </c>
      <c r="D64" s="118"/>
      <c r="E64" s="112"/>
      <c r="G64" s="119"/>
    </row>
    <row r="65" spans="1:7" x14ac:dyDescent="0.25">
      <c r="A65" s="107" t="s">
        <v>629</v>
      </c>
      <c r="B65" s="113" t="s">
        <v>627</v>
      </c>
      <c r="C65" s="32">
        <v>3008.3</v>
      </c>
      <c r="D65" s="118"/>
      <c r="E65" s="112"/>
      <c r="G65" s="119"/>
    </row>
    <row r="66" spans="1:7" ht="26.4" x14ac:dyDescent="0.25">
      <c r="A66" s="107" t="s">
        <v>637</v>
      </c>
      <c r="B66" s="113" t="s">
        <v>630</v>
      </c>
      <c r="C66" s="32">
        <v>21.3</v>
      </c>
      <c r="D66" s="118"/>
      <c r="E66" s="112"/>
      <c r="G66" s="119"/>
    </row>
    <row r="67" spans="1:7" ht="39.6" x14ac:dyDescent="0.25">
      <c r="A67" s="107" t="s">
        <v>640</v>
      </c>
      <c r="B67" s="113" t="s">
        <v>631</v>
      </c>
      <c r="C67" s="32">
        <v>22.3</v>
      </c>
      <c r="D67" s="118"/>
      <c r="E67" s="112"/>
      <c r="G67" s="119"/>
    </row>
    <row r="68" spans="1:7" ht="26.4" x14ac:dyDescent="0.25">
      <c r="A68" s="107" t="s">
        <v>643</v>
      </c>
      <c r="B68" s="113" t="s">
        <v>638</v>
      </c>
      <c r="C68" s="32">
        <v>50</v>
      </c>
      <c r="D68" s="118"/>
      <c r="E68" s="112"/>
      <c r="G68" s="119"/>
    </row>
    <row r="69" spans="1:7" ht="39.6" x14ac:dyDescent="0.25">
      <c r="A69" s="107" t="s">
        <v>642</v>
      </c>
      <c r="B69" s="113" t="s">
        <v>706</v>
      </c>
      <c r="C69" s="32">
        <f>11.8+17.4+35.1+27.9+4.8+4.1+9.5+12.1</f>
        <v>122.69999999999997</v>
      </c>
      <c r="D69" s="118"/>
      <c r="E69" s="112"/>
      <c r="G69" s="119"/>
    </row>
    <row r="70" spans="1:7" ht="39.6" x14ac:dyDescent="0.25">
      <c r="A70" s="107" t="s">
        <v>645</v>
      </c>
      <c r="B70" s="113" t="s">
        <v>641</v>
      </c>
      <c r="C70" s="32">
        <v>7</v>
      </c>
      <c r="D70" s="118"/>
      <c r="E70" s="112"/>
      <c r="G70" s="119"/>
    </row>
    <row r="71" spans="1:7" ht="39.6" x14ac:dyDescent="0.25">
      <c r="A71" s="107" t="s">
        <v>660</v>
      </c>
      <c r="B71" s="113" t="s">
        <v>644</v>
      </c>
      <c r="C71" s="32">
        <v>43</v>
      </c>
      <c r="D71" s="118"/>
      <c r="E71" s="112"/>
      <c r="G71" s="119"/>
    </row>
    <row r="72" spans="1:7" ht="26.4" x14ac:dyDescent="0.25">
      <c r="A72" s="107" t="s">
        <v>664</v>
      </c>
      <c r="B72" s="113" t="s">
        <v>647</v>
      </c>
      <c r="C72" s="32">
        <f>37.8+101</f>
        <v>138.80000000000001</v>
      </c>
      <c r="D72" s="118"/>
      <c r="E72" s="112"/>
      <c r="G72" s="119"/>
    </row>
    <row r="73" spans="1:7" ht="26.4" x14ac:dyDescent="0.25">
      <c r="A73" s="107" t="s">
        <v>665</v>
      </c>
      <c r="B73" s="113" t="s">
        <v>661</v>
      </c>
      <c r="C73" s="32">
        <f>3.7+22.6+22.6+23.2+15.8+19.9+17.8+14.8</f>
        <v>140.4</v>
      </c>
      <c r="D73" s="168"/>
      <c r="E73" s="167"/>
      <c r="G73" s="119"/>
    </row>
    <row r="74" spans="1:7" x14ac:dyDescent="0.25">
      <c r="A74" s="107" t="s">
        <v>668</v>
      </c>
      <c r="B74" s="113" t="s">
        <v>669</v>
      </c>
      <c r="C74" s="32">
        <v>32.799999999999997</v>
      </c>
      <c r="D74" s="118"/>
      <c r="E74" s="112"/>
      <c r="G74" s="119"/>
    </row>
    <row r="75" spans="1:7" ht="26.4" x14ac:dyDescent="0.25">
      <c r="A75" s="107" t="s">
        <v>695</v>
      </c>
      <c r="B75" s="113" t="s">
        <v>684</v>
      </c>
      <c r="C75" s="32">
        <f>27.3+20.2</f>
        <v>47.5</v>
      </c>
      <c r="D75" s="118"/>
      <c r="E75" s="112"/>
      <c r="G75" s="119"/>
    </row>
    <row r="76" spans="1:7" ht="39.6" x14ac:dyDescent="0.25">
      <c r="A76" s="107" t="s">
        <v>696</v>
      </c>
      <c r="B76" s="113" t="s">
        <v>677</v>
      </c>
      <c r="C76" s="32">
        <f>6.1+3.7</f>
        <v>9.8000000000000007</v>
      </c>
      <c r="D76" s="118"/>
      <c r="E76" s="112"/>
      <c r="G76" s="119"/>
    </row>
    <row r="77" spans="1:7" ht="52.8" x14ac:dyDescent="0.25">
      <c r="A77" s="107" t="s">
        <v>697</v>
      </c>
      <c r="B77" s="113" t="s">
        <v>707</v>
      </c>
      <c r="C77" s="32">
        <f>2.1+1.2+0.6+3.2</f>
        <v>7.1</v>
      </c>
      <c r="D77" s="168"/>
      <c r="E77" s="167"/>
      <c r="G77" s="119"/>
    </row>
    <row r="78" spans="1:7" ht="66" x14ac:dyDescent="0.25">
      <c r="A78" s="107" t="s">
        <v>698</v>
      </c>
      <c r="B78" s="113" t="s">
        <v>676</v>
      </c>
      <c r="C78" s="32">
        <f>20.7+26.9+49.2</f>
        <v>96.8</v>
      </c>
      <c r="D78" s="168"/>
      <c r="E78" s="112"/>
      <c r="G78" s="119"/>
    </row>
    <row r="79" spans="1:7" x14ac:dyDescent="0.25">
      <c r="A79" s="107" t="s">
        <v>699</v>
      </c>
      <c r="B79" s="113" t="s">
        <v>689</v>
      </c>
      <c r="C79" s="32">
        <v>0.1</v>
      </c>
      <c r="D79" s="118"/>
      <c r="E79" s="112"/>
      <c r="G79" s="119"/>
    </row>
    <row r="80" spans="1:7" ht="26.4" x14ac:dyDescent="0.25">
      <c r="A80" s="107" t="s">
        <v>700</v>
      </c>
      <c r="B80" s="113" t="s">
        <v>721</v>
      </c>
      <c r="C80" s="32">
        <v>1.9</v>
      </c>
      <c r="D80" s="118"/>
      <c r="E80" s="112"/>
      <c r="G80" s="119"/>
    </row>
    <row r="81" spans="1:7" ht="26.4" x14ac:dyDescent="0.25">
      <c r="A81" s="107" t="s">
        <v>837</v>
      </c>
      <c r="B81" s="113" t="s">
        <v>838</v>
      </c>
      <c r="C81" s="32">
        <v>85.3</v>
      </c>
      <c r="D81" s="118"/>
      <c r="E81" s="112"/>
      <c r="G81" s="119"/>
    </row>
    <row r="82" spans="1:7" ht="26.4" x14ac:dyDescent="0.25">
      <c r="A82" s="107" t="s">
        <v>841</v>
      </c>
      <c r="B82" s="113" t="s">
        <v>843</v>
      </c>
      <c r="C82" s="32">
        <v>0.9</v>
      </c>
      <c r="D82" s="118"/>
      <c r="E82" s="112"/>
      <c r="G82" s="119"/>
    </row>
    <row r="83" spans="1:7" x14ac:dyDescent="0.25">
      <c r="A83" s="107">
        <v>17</v>
      </c>
      <c r="B83" s="105" t="s">
        <v>556</v>
      </c>
      <c r="C83" s="109">
        <f>C84+C89+C93+C96+C97+C98</f>
        <v>4143.1000000000004</v>
      </c>
      <c r="D83" s="4"/>
      <c r="G83" s="36"/>
    </row>
    <row r="84" spans="1:7" x14ac:dyDescent="0.25">
      <c r="A84" s="107">
        <v>18</v>
      </c>
      <c r="B84" s="105" t="s">
        <v>557</v>
      </c>
      <c r="C84" s="109">
        <f>C86+C87+C88+C85</f>
        <v>600</v>
      </c>
      <c r="D84" s="4"/>
    </row>
    <row r="85" spans="1:7" x14ac:dyDescent="0.25">
      <c r="A85" s="107">
        <v>19</v>
      </c>
      <c r="B85" s="120" t="s">
        <v>421</v>
      </c>
      <c r="C85" s="32">
        <v>30</v>
      </c>
      <c r="D85" s="4"/>
    </row>
    <row r="86" spans="1:7" ht="26.4" x14ac:dyDescent="0.25">
      <c r="A86" s="107">
        <v>20</v>
      </c>
      <c r="B86" s="113" t="s">
        <v>422</v>
      </c>
      <c r="C86" s="32">
        <v>500</v>
      </c>
      <c r="D86" s="4"/>
    </row>
    <row r="87" spans="1:7" x14ac:dyDescent="0.25">
      <c r="A87" s="107">
        <v>21</v>
      </c>
      <c r="B87" s="111" t="s">
        <v>423</v>
      </c>
      <c r="C87" s="32">
        <v>35</v>
      </c>
      <c r="D87" s="4"/>
      <c r="E87" s="112"/>
    </row>
    <row r="88" spans="1:7" x14ac:dyDescent="0.25">
      <c r="A88" s="107">
        <v>22</v>
      </c>
      <c r="B88" s="121" t="s">
        <v>206</v>
      </c>
      <c r="C88" s="32">
        <v>35</v>
      </c>
      <c r="D88" s="4"/>
      <c r="E88" s="112"/>
    </row>
    <row r="89" spans="1:7" x14ac:dyDescent="0.25">
      <c r="A89" s="107">
        <v>23</v>
      </c>
      <c r="B89" s="105" t="s">
        <v>558</v>
      </c>
      <c r="C89" s="109">
        <f>+C91+C90+C92</f>
        <v>1765.1</v>
      </c>
      <c r="D89" s="4"/>
    </row>
    <row r="90" spans="1:7" x14ac:dyDescent="0.25">
      <c r="A90" s="107">
        <v>24</v>
      </c>
      <c r="B90" s="111" t="s">
        <v>424</v>
      </c>
      <c r="C90" s="32">
        <f>185.6+28</f>
        <v>213.6</v>
      </c>
      <c r="D90" s="4"/>
      <c r="E90" s="112"/>
      <c r="F90" s="39"/>
    </row>
    <row r="91" spans="1:7" x14ac:dyDescent="0.25">
      <c r="A91" s="107">
        <v>25</v>
      </c>
      <c r="B91" s="111" t="s">
        <v>425</v>
      </c>
      <c r="C91" s="32">
        <f>124.8-0.1-8.8</f>
        <v>115.9</v>
      </c>
      <c r="D91" s="4"/>
      <c r="E91" s="112"/>
      <c r="F91" s="39"/>
    </row>
    <row r="92" spans="1:7" x14ac:dyDescent="0.25">
      <c r="A92" s="107">
        <v>26</v>
      </c>
      <c r="B92" s="111" t="s">
        <v>426</v>
      </c>
      <c r="C92" s="32">
        <f>1380+20+35.6</f>
        <v>1435.6</v>
      </c>
      <c r="D92" s="4"/>
      <c r="E92" s="112"/>
      <c r="F92" s="39"/>
    </row>
    <row r="93" spans="1:7" x14ac:dyDescent="0.25">
      <c r="A93" s="107">
        <v>27</v>
      </c>
      <c r="B93" s="105" t="s">
        <v>559</v>
      </c>
      <c r="C93" s="108">
        <f>+C94+C95</f>
        <v>1640</v>
      </c>
      <c r="D93" s="4"/>
      <c r="E93" s="39"/>
      <c r="F93" s="39"/>
    </row>
    <row r="94" spans="1:7" x14ac:dyDescent="0.25">
      <c r="A94" s="107">
        <v>28</v>
      </c>
      <c r="B94" s="111" t="s">
        <v>427</v>
      </c>
      <c r="C94" s="32">
        <v>40</v>
      </c>
      <c r="D94" s="4"/>
      <c r="G94" s="36"/>
    </row>
    <row r="95" spans="1:7" x14ac:dyDescent="0.25">
      <c r="A95" s="107">
        <v>29</v>
      </c>
      <c r="B95" s="111" t="s">
        <v>428</v>
      </c>
      <c r="C95" s="32">
        <v>1600</v>
      </c>
      <c r="D95" s="4"/>
      <c r="E95" s="112"/>
    </row>
    <row r="96" spans="1:7" x14ac:dyDescent="0.25">
      <c r="A96" s="107">
        <v>30</v>
      </c>
      <c r="B96" s="105" t="s">
        <v>429</v>
      </c>
      <c r="C96" s="109">
        <v>50</v>
      </c>
      <c r="D96" s="4"/>
      <c r="E96" s="39"/>
      <c r="F96" s="39"/>
    </row>
    <row r="97" spans="1:7" x14ac:dyDescent="0.25">
      <c r="A97" s="107">
        <v>31</v>
      </c>
      <c r="B97" s="105" t="s">
        <v>430</v>
      </c>
      <c r="C97" s="109">
        <v>10</v>
      </c>
      <c r="D97" s="4"/>
      <c r="E97" s="4"/>
    </row>
    <row r="98" spans="1:7" x14ac:dyDescent="0.25">
      <c r="A98" s="107">
        <v>32</v>
      </c>
      <c r="B98" s="105" t="s">
        <v>431</v>
      </c>
      <c r="C98" s="109">
        <v>78</v>
      </c>
      <c r="D98" s="4"/>
    </row>
    <row r="99" spans="1:7" ht="13.8" x14ac:dyDescent="0.3">
      <c r="A99" s="107">
        <v>33</v>
      </c>
      <c r="B99" s="122" t="s">
        <v>560</v>
      </c>
      <c r="C99" s="109">
        <f>+C8+C17+C83</f>
        <v>74290.900000000009</v>
      </c>
      <c r="D99" s="123"/>
      <c r="E99" s="4"/>
    </row>
    <row r="100" spans="1:7" ht="12.6" customHeight="1" x14ac:dyDescent="0.25">
      <c r="A100" s="107">
        <v>34</v>
      </c>
      <c r="B100" s="110" t="s">
        <v>432</v>
      </c>
      <c r="C100" s="108">
        <f>1169.7+400</f>
        <v>1569.7</v>
      </c>
      <c r="D100" s="38"/>
      <c r="F100" s="4"/>
      <c r="G100" s="124"/>
    </row>
    <row r="101" spans="1:7" ht="12.6" customHeight="1" x14ac:dyDescent="0.25">
      <c r="A101" s="107">
        <v>35</v>
      </c>
      <c r="B101" s="122" t="s">
        <v>561</v>
      </c>
      <c r="C101" s="109">
        <f>+C99+C100</f>
        <v>75860.600000000006</v>
      </c>
      <c r="D101" s="4"/>
      <c r="E101" s="4"/>
      <c r="F101" s="4"/>
      <c r="G101" s="4"/>
    </row>
    <row r="102" spans="1:7" ht="12.6" customHeight="1" x14ac:dyDescent="0.25">
      <c r="A102" s="107">
        <v>36</v>
      </c>
      <c r="B102" s="105" t="s">
        <v>562</v>
      </c>
      <c r="C102" s="109">
        <f>+C103+C105+C104+C106+C107+C108+C109+C110+C111</f>
        <v>6262.5</v>
      </c>
      <c r="D102" s="36"/>
      <c r="E102" s="4"/>
      <c r="F102" s="4"/>
      <c r="G102" s="4"/>
    </row>
    <row r="103" spans="1:7" ht="13.8" x14ac:dyDescent="0.3">
      <c r="A103" s="107">
        <v>37</v>
      </c>
      <c r="B103" s="111" t="s">
        <v>433</v>
      </c>
      <c r="C103" s="32">
        <f>4778.7-(1931.1-270.6-185-744.8-730.7)</f>
        <v>4778.7</v>
      </c>
      <c r="D103" s="125"/>
      <c r="E103" s="4"/>
      <c r="F103" s="4"/>
      <c r="G103" s="4"/>
    </row>
    <row r="104" spans="1:7" ht="12.6" customHeight="1" x14ac:dyDescent="0.25">
      <c r="A104" s="107">
        <v>38</v>
      </c>
      <c r="B104" s="111" t="s">
        <v>434</v>
      </c>
      <c r="C104" s="32">
        <v>48.7</v>
      </c>
      <c r="D104" s="126"/>
      <c r="E104" s="112"/>
      <c r="F104" s="4"/>
      <c r="G104" s="4"/>
    </row>
    <row r="105" spans="1:7" ht="12.6" customHeight="1" x14ac:dyDescent="0.25">
      <c r="A105" s="107">
        <v>39</v>
      </c>
      <c r="B105" s="111" t="s">
        <v>435</v>
      </c>
      <c r="C105" s="32">
        <v>54.3</v>
      </c>
      <c r="D105" s="126"/>
      <c r="E105" s="112"/>
      <c r="F105" s="4"/>
      <c r="G105" s="4"/>
    </row>
    <row r="106" spans="1:7" ht="12.6" customHeight="1" x14ac:dyDescent="0.25">
      <c r="A106" s="107">
        <v>40</v>
      </c>
      <c r="B106" s="113" t="s">
        <v>436</v>
      </c>
      <c r="C106" s="32">
        <v>116.3</v>
      </c>
      <c r="D106" s="126"/>
      <c r="E106" s="112"/>
      <c r="F106" s="4"/>
      <c r="G106" s="4"/>
    </row>
    <row r="107" spans="1:7" ht="12.6" customHeight="1" x14ac:dyDescent="0.25">
      <c r="A107" s="107">
        <v>41</v>
      </c>
      <c r="B107" s="111" t="s">
        <v>437</v>
      </c>
      <c r="C107" s="32">
        <v>190.5</v>
      </c>
      <c r="D107" s="126"/>
      <c r="E107" s="112"/>
      <c r="G107" s="4"/>
    </row>
    <row r="108" spans="1:7" ht="12.6" customHeight="1" x14ac:dyDescent="0.25">
      <c r="A108" s="107">
        <v>42</v>
      </c>
      <c r="B108" s="111" t="s">
        <v>438</v>
      </c>
      <c r="C108" s="32">
        <v>120</v>
      </c>
      <c r="D108" s="126"/>
      <c r="E108" s="112"/>
      <c r="F108" s="4"/>
      <c r="G108" s="4"/>
    </row>
    <row r="109" spans="1:7" ht="12.6" customHeight="1" x14ac:dyDescent="0.25">
      <c r="A109" s="107">
        <v>43</v>
      </c>
      <c r="B109" s="111" t="s">
        <v>439</v>
      </c>
      <c r="C109" s="32">
        <f>(6.4+118.9-30.3)+(304+8.5-62.5)</f>
        <v>345</v>
      </c>
      <c r="D109" s="127"/>
      <c r="E109" s="126"/>
      <c r="F109" s="4"/>
      <c r="G109" s="4"/>
    </row>
    <row r="110" spans="1:7" ht="12.6" customHeight="1" x14ac:dyDescent="0.25">
      <c r="A110" s="107">
        <v>44</v>
      </c>
      <c r="B110" s="115" t="s">
        <v>393</v>
      </c>
      <c r="C110" s="32">
        <f>583.1</f>
        <v>583.1</v>
      </c>
      <c r="D110" s="126"/>
      <c r="E110" s="112"/>
      <c r="F110" s="112"/>
      <c r="G110" s="4"/>
    </row>
    <row r="111" spans="1:7" ht="12.6" customHeight="1" x14ac:dyDescent="0.25">
      <c r="A111" s="107">
        <v>45</v>
      </c>
      <c r="B111" s="115" t="s">
        <v>440</v>
      </c>
      <c r="C111" s="32">
        <f>25.9</f>
        <v>25.9</v>
      </c>
      <c r="D111" s="126"/>
      <c r="E111" s="112"/>
      <c r="F111" s="112"/>
      <c r="G111" s="4"/>
    </row>
    <row r="112" spans="1:7" ht="12.6" customHeight="1" x14ac:dyDescent="0.25">
      <c r="A112" s="107">
        <v>46</v>
      </c>
      <c r="B112" s="122" t="s">
        <v>441</v>
      </c>
      <c r="C112" s="128">
        <f>+C101+C102</f>
        <v>82123.100000000006</v>
      </c>
      <c r="D112" s="37"/>
      <c r="G112" s="36"/>
    </row>
    <row r="113" spans="1:7" ht="12.6" customHeight="1" x14ac:dyDescent="0.25">
      <c r="A113" s="100"/>
      <c r="B113" s="129" t="s">
        <v>442</v>
      </c>
      <c r="C113" s="130"/>
    </row>
    <row r="114" spans="1:7" ht="12.6" customHeight="1" x14ac:dyDescent="0.25">
      <c r="A114" s="100"/>
      <c r="B114" s="129"/>
      <c r="C114" s="38"/>
    </row>
    <row r="115" spans="1:7" ht="12.6" customHeight="1" x14ac:dyDescent="0.25">
      <c r="A115" s="100"/>
      <c r="B115" s="129"/>
      <c r="C115" s="38"/>
    </row>
    <row r="116" spans="1:7" x14ac:dyDescent="0.25">
      <c r="B116" s="25"/>
      <c r="C116" s="38"/>
      <c r="G116" s="36"/>
    </row>
    <row r="117" spans="1:7" x14ac:dyDescent="0.25">
      <c r="B117" s="25"/>
      <c r="C117" s="38"/>
      <c r="G117" s="36"/>
    </row>
    <row r="118" spans="1:7" x14ac:dyDescent="0.25">
      <c r="B118" s="25"/>
      <c r="C118" s="38"/>
      <c r="D118" s="131"/>
      <c r="F118" s="4"/>
      <c r="G118" s="36"/>
    </row>
    <row r="119" spans="1:7" x14ac:dyDescent="0.25">
      <c r="B119" s="25"/>
      <c r="C119" s="38"/>
      <c r="D119" s="36"/>
    </row>
    <row r="120" spans="1:7" x14ac:dyDescent="0.25">
      <c r="B120" s="25"/>
      <c r="C120" s="38"/>
    </row>
    <row r="121" spans="1:7" ht="15.6" x14ac:dyDescent="0.3">
      <c r="B121" s="40"/>
      <c r="C121" s="38"/>
      <c r="G121" s="36"/>
    </row>
    <row r="122" spans="1:7" ht="15.6" x14ac:dyDescent="0.3">
      <c r="B122" s="40"/>
      <c r="C122" s="38"/>
      <c r="G122" s="36"/>
    </row>
    <row r="123" spans="1:7" ht="15.6" x14ac:dyDescent="0.3">
      <c r="B123" s="132"/>
      <c r="C123" s="38"/>
    </row>
    <row r="124" spans="1:7" ht="15.6" x14ac:dyDescent="0.3">
      <c r="B124" s="40"/>
      <c r="C124" s="38"/>
      <c r="E124" s="36"/>
      <c r="F124" s="133"/>
    </row>
    <row r="125" spans="1:7" x14ac:dyDescent="0.25">
      <c r="B125" s="25"/>
      <c r="C125" s="36"/>
    </row>
    <row r="126" spans="1:7" x14ac:dyDescent="0.25">
      <c r="B126" s="134"/>
      <c r="C126" s="38"/>
    </row>
    <row r="128" spans="1:7" x14ac:dyDescent="0.25">
      <c r="C128" s="36"/>
    </row>
  </sheetData>
  <mergeCells count="3">
    <mergeCell ref="B1:C1"/>
    <mergeCell ref="B2:C2"/>
    <mergeCell ref="A3:C3"/>
  </mergeCells>
  <phoneticPr fontId="12"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V339"/>
  <sheetViews>
    <sheetView tabSelected="1" workbookViewId="0">
      <selection activeCell="H12" sqref="H12"/>
    </sheetView>
  </sheetViews>
  <sheetFormatPr defaultColWidth="9.109375" defaultRowHeight="13.2" x14ac:dyDescent="0.25"/>
  <cols>
    <col min="1" max="1" width="5.88671875" style="5" customWidth="1"/>
    <col min="2" max="2" width="6.6640625" style="6" customWidth="1"/>
    <col min="3" max="3" width="51.33203125" style="3" customWidth="1"/>
    <col min="4" max="4" width="10.6640625" style="7" customWidth="1"/>
    <col min="5" max="5" width="9.6640625" style="3" customWidth="1"/>
    <col min="6" max="6" width="11" style="3" customWidth="1"/>
    <col min="7" max="9" width="9.109375" style="2"/>
    <col min="10" max="10" width="7.44140625" style="2" customWidth="1"/>
    <col min="11" max="16384" width="9.109375" style="2"/>
  </cols>
  <sheetData>
    <row r="1" spans="1:13" ht="15.75" customHeight="1" x14ac:dyDescent="0.3">
      <c r="C1" s="174" t="s">
        <v>383</v>
      </c>
      <c r="D1" s="174"/>
      <c r="E1" s="174"/>
      <c r="F1" s="174"/>
    </row>
    <row r="2" spans="1:13" ht="15.6" x14ac:dyDescent="0.3">
      <c r="C2" s="174" t="s">
        <v>848</v>
      </c>
      <c r="D2" s="174"/>
      <c r="E2" s="174"/>
      <c r="F2" s="174"/>
    </row>
    <row r="3" spans="1:13" ht="14.25" customHeight="1" x14ac:dyDescent="0.25">
      <c r="B3" s="7"/>
      <c r="E3" s="175" t="s">
        <v>116</v>
      </c>
      <c r="F3" s="175"/>
    </row>
    <row r="4" spans="1:13" ht="15.6" x14ac:dyDescent="0.25">
      <c r="B4" s="7"/>
      <c r="E4" s="35"/>
      <c r="F4" s="35"/>
    </row>
    <row r="5" spans="1:13" ht="25.5" customHeight="1" x14ac:dyDescent="0.25">
      <c r="A5" s="176" t="s">
        <v>451</v>
      </c>
      <c r="B5" s="176"/>
      <c r="C5" s="176"/>
      <c r="D5" s="176"/>
      <c r="E5" s="176"/>
      <c r="F5" s="176"/>
    </row>
    <row r="6" spans="1:13" x14ac:dyDescent="0.25">
      <c r="A6" s="29"/>
      <c r="B6" s="29"/>
      <c r="C6" s="29"/>
      <c r="D6" s="29"/>
      <c r="E6" s="29"/>
      <c r="F6" s="29"/>
    </row>
    <row r="7" spans="1:13" x14ac:dyDescent="0.25">
      <c r="B7" s="7"/>
      <c r="E7" s="5"/>
      <c r="F7" s="62" t="s">
        <v>130</v>
      </c>
    </row>
    <row r="8" spans="1:13" ht="43.5" customHeight="1" x14ac:dyDescent="0.25">
      <c r="A8" s="8" t="s">
        <v>119</v>
      </c>
      <c r="B8" s="9" t="s">
        <v>455</v>
      </c>
      <c r="C8" s="8" t="s">
        <v>16</v>
      </c>
      <c r="D8" s="9" t="s">
        <v>55</v>
      </c>
      <c r="E8" s="8" t="s">
        <v>17</v>
      </c>
      <c r="F8" s="8" t="s">
        <v>29</v>
      </c>
      <c r="J8" s="30"/>
    </row>
    <row r="9" spans="1:13" x14ac:dyDescent="0.25">
      <c r="A9" s="10">
        <v>1</v>
      </c>
      <c r="B9" s="11" t="s">
        <v>18</v>
      </c>
      <c r="C9" s="8">
        <v>3</v>
      </c>
      <c r="D9" s="9">
        <v>4</v>
      </c>
      <c r="E9" s="8">
        <v>5</v>
      </c>
      <c r="F9" s="8">
        <v>6</v>
      </c>
    </row>
    <row r="10" spans="1:13" ht="20.100000000000001" customHeight="1" x14ac:dyDescent="0.25">
      <c r="A10" s="12">
        <v>1</v>
      </c>
      <c r="B10" s="11" t="s">
        <v>56</v>
      </c>
      <c r="C10" s="13" t="s">
        <v>57</v>
      </c>
      <c r="D10" s="9"/>
      <c r="E10" s="44">
        <f>+E11+E12+E13+E14+E15+E16+E17+E18+E19+E20+E21+E22+E23+E24+E25+E26+E27+E28+E29+E30+E31+E32+E33+E34+E35+E36+E38+E39+E40+E41+E42</f>
        <v>12501.499999999995</v>
      </c>
      <c r="F10" s="44">
        <f>+F11+F12+F13+F14+F15+F16+F17+F18+F19+F20+F21+F22+F23+F24+F25+F26+F27+F28+F29+F30+F31+F32+F33+F34+F35+F36+F38+F39+F40+F41+F42</f>
        <v>9322</v>
      </c>
      <c r="I10" s="61"/>
      <c r="J10" s="61"/>
      <c r="K10" s="61"/>
      <c r="L10" s="61"/>
    </row>
    <row r="11" spans="1:13" ht="12.6" customHeight="1" x14ac:dyDescent="0.25">
      <c r="A11" s="12">
        <v>2</v>
      </c>
      <c r="B11" s="1"/>
      <c r="C11" s="24" t="s">
        <v>176</v>
      </c>
      <c r="D11" s="1" t="s">
        <v>58</v>
      </c>
      <c r="E11" s="19">
        <f>365.8+13.3+3.4+9.2</f>
        <v>391.7</v>
      </c>
      <c r="F11" s="19">
        <f>310+8.3+9.9+9.2</f>
        <v>337.4</v>
      </c>
      <c r="I11" s="61"/>
      <c r="L11" s="61"/>
      <c r="M11" s="50"/>
    </row>
    <row r="12" spans="1:13" ht="12.6" customHeight="1" x14ac:dyDescent="0.25">
      <c r="A12" s="12">
        <v>3</v>
      </c>
      <c r="B12" s="1"/>
      <c r="C12" s="24" t="s">
        <v>167</v>
      </c>
      <c r="D12" s="1" t="s">
        <v>58</v>
      </c>
      <c r="E12" s="19">
        <f>394.6+3.5</f>
        <v>398.1</v>
      </c>
      <c r="F12" s="19">
        <v>336.9</v>
      </c>
      <c r="I12" s="61"/>
      <c r="L12" s="61"/>
      <c r="M12" s="50"/>
    </row>
    <row r="13" spans="1:13" ht="12.6" customHeight="1" x14ac:dyDescent="0.25">
      <c r="A13" s="12">
        <v>4</v>
      </c>
      <c r="B13" s="1"/>
      <c r="C13" s="24" t="s">
        <v>168</v>
      </c>
      <c r="D13" s="1" t="s">
        <v>58</v>
      </c>
      <c r="E13" s="19">
        <f>360.8+1.4+3.7</f>
        <v>365.9</v>
      </c>
      <c r="F13" s="19">
        <v>300.10000000000002</v>
      </c>
      <c r="I13" s="61"/>
      <c r="L13" s="61"/>
      <c r="M13" s="50"/>
    </row>
    <row r="14" spans="1:13" ht="12.6" customHeight="1" x14ac:dyDescent="0.25">
      <c r="A14" s="12">
        <v>5</v>
      </c>
      <c r="B14" s="1"/>
      <c r="C14" s="24" t="s">
        <v>172</v>
      </c>
      <c r="D14" s="1" t="s">
        <v>58</v>
      </c>
      <c r="E14" s="19">
        <f>358.2+3.1+3.6+2.6</f>
        <v>367.50000000000006</v>
      </c>
      <c r="F14" s="19">
        <v>299.2</v>
      </c>
      <c r="I14" s="61"/>
      <c r="L14" s="61"/>
      <c r="M14" s="50"/>
    </row>
    <row r="15" spans="1:13" ht="12.6" customHeight="1" x14ac:dyDescent="0.25">
      <c r="A15" s="12">
        <v>6</v>
      </c>
      <c r="B15" s="1"/>
      <c r="C15" s="24" t="s">
        <v>169</v>
      </c>
      <c r="D15" s="1" t="s">
        <v>58</v>
      </c>
      <c r="E15" s="19">
        <f>372.8+3.4+3.4+3.9+2</f>
        <v>385.49999999999994</v>
      </c>
      <c r="F15" s="19">
        <v>310.8</v>
      </c>
      <c r="I15" s="61"/>
      <c r="L15" s="61"/>
      <c r="M15" s="50"/>
    </row>
    <row r="16" spans="1:13" ht="12.6" customHeight="1" x14ac:dyDescent="0.25">
      <c r="A16" s="12">
        <v>7</v>
      </c>
      <c r="B16" s="1"/>
      <c r="C16" s="24" t="s">
        <v>170</v>
      </c>
      <c r="D16" s="1" t="s">
        <v>58</v>
      </c>
      <c r="E16" s="19">
        <f>442.2+3.2+4+0.8</f>
        <v>450.2</v>
      </c>
      <c r="F16" s="19">
        <v>376.4</v>
      </c>
      <c r="I16" s="61"/>
      <c r="L16" s="61"/>
      <c r="M16" s="50"/>
    </row>
    <row r="17" spans="1:13" ht="12.6" customHeight="1" x14ac:dyDescent="0.25">
      <c r="A17" s="12">
        <v>8</v>
      </c>
      <c r="B17" s="1"/>
      <c r="C17" s="24" t="s">
        <v>171</v>
      </c>
      <c r="D17" s="1" t="s">
        <v>58</v>
      </c>
      <c r="E17" s="19">
        <f>399.1+4.2+5</f>
        <v>408.3</v>
      </c>
      <c r="F17" s="19">
        <v>333</v>
      </c>
      <c r="I17" s="61"/>
      <c r="L17" s="61"/>
      <c r="M17" s="50"/>
    </row>
    <row r="18" spans="1:13" ht="12.6" customHeight="1" x14ac:dyDescent="0.25">
      <c r="A18" s="12">
        <v>9</v>
      </c>
      <c r="B18" s="1"/>
      <c r="C18" s="15" t="s">
        <v>207</v>
      </c>
      <c r="D18" s="1" t="s">
        <v>59</v>
      </c>
      <c r="E18" s="19">
        <f>351.4+7.2+3.7+1+4+0.3+4.6+7.9+0.4</f>
        <v>380.49999999999994</v>
      </c>
      <c r="F18" s="19">
        <v>292.7</v>
      </c>
      <c r="I18" s="61"/>
      <c r="L18" s="61"/>
      <c r="M18" s="50"/>
    </row>
    <row r="19" spans="1:13" ht="12.6" customHeight="1" x14ac:dyDescent="0.25">
      <c r="A19" s="12">
        <v>10</v>
      </c>
      <c r="B19" s="1"/>
      <c r="C19" s="24" t="s">
        <v>175</v>
      </c>
      <c r="D19" s="1" t="s">
        <v>60</v>
      </c>
      <c r="E19" s="19">
        <f>377.7+6.4+5.7+5.9</f>
        <v>395.69999999999993</v>
      </c>
      <c r="F19" s="19">
        <f>286.8+7.7</f>
        <v>294.5</v>
      </c>
      <c r="I19" s="61"/>
      <c r="L19" s="61"/>
      <c r="M19" s="50"/>
    </row>
    <row r="20" spans="1:13" ht="25.95" customHeight="1" x14ac:dyDescent="0.25">
      <c r="A20" s="12">
        <v>11</v>
      </c>
      <c r="B20" s="1"/>
      <c r="C20" s="24" t="s">
        <v>46</v>
      </c>
      <c r="D20" s="14" t="s">
        <v>120</v>
      </c>
      <c r="E20" s="19">
        <f>356.4+4.1</f>
        <v>360.5</v>
      </c>
      <c r="F20" s="19">
        <f>232.4+5.9</f>
        <v>238.3</v>
      </c>
      <c r="I20" s="61"/>
      <c r="L20" s="61"/>
      <c r="M20" s="50"/>
    </row>
    <row r="21" spans="1:13" ht="12.6" customHeight="1" x14ac:dyDescent="0.25">
      <c r="A21" s="12">
        <v>12</v>
      </c>
      <c r="B21" s="1"/>
      <c r="C21" s="15" t="s">
        <v>135</v>
      </c>
      <c r="D21" s="1" t="s">
        <v>60</v>
      </c>
      <c r="E21" s="19">
        <f>753.4+7.5+8.8+8+2.5+1.5</f>
        <v>781.69999999999993</v>
      </c>
      <c r="F21" s="19">
        <f>597.5+2.7</f>
        <v>600.20000000000005</v>
      </c>
      <c r="I21" s="61"/>
      <c r="L21" s="61"/>
      <c r="M21" s="50"/>
    </row>
    <row r="22" spans="1:13" ht="12.6" customHeight="1" x14ac:dyDescent="0.25">
      <c r="A22" s="12">
        <v>13</v>
      </c>
      <c r="B22" s="1"/>
      <c r="C22" s="15" t="s">
        <v>136</v>
      </c>
      <c r="D22" s="1" t="s">
        <v>60</v>
      </c>
      <c r="E22" s="19">
        <f>347.4+0.5+4.1+5.1+8.5+2.2</f>
        <v>367.8</v>
      </c>
      <c r="F22" s="19">
        <f>260.9+3.5</f>
        <v>264.39999999999998</v>
      </c>
      <c r="I22" s="61"/>
      <c r="J22" s="61"/>
      <c r="K22" s="50"/>
      <c r="L22" s="61"/>
    </row>
    <row r="23" spans="1:13" ht="12.6" customHeight="1" x14ac:dyDescent="0.25">
      <c r="A23" s="12">
        <v>14</v>
      </c>
      <c r="B23" s="1"/>
      <c r="C23" s="15" t="s">
        <v>40</v>
      </c>
      <c r="D23" s="1" t="s">
        <v>60</v>
      </c>
      <c r="E23" s="19">
        <f>771.1+3.2+9-5.3</f>
        <v>778.00000000000011</v>
      </c>
      <c r="F23" s="19">
        <f>601.5-3.1</f>
        <v>598.4</v>
      </c>
      <c r="I23" s="61"/>
      <c r="J23" s="61"/>
      <c r="K23" s="50"/>
      <c r="L23" s="61"/>
    </row>
    <row r="24" spans="1:13" ht="12.6" customHeight="1" x14ac:dyDescent="0.25">
      <c r="A24" s="12">
        <v>15</v>
      </c>
      <c r="B24" s="1"/>
      <c r="C24" s="24" t="s">
        <v>139</v>
      </c>
      <c r="D24" s="1" t="s">
        <v>60</v>
      </c>
      <c r="E24" s="19">
        <f>401.5+1.7+12.4+18.2+38+9.3+3-4.2</f>
        <v>479.9</v>
      </c>
      <c r="F24" s="19">
        <f>284.8+1.7+28.2+24.7+4.6</f>
        <v>344</v>
      </c>
      <c r="I24" s="61"/>
      <c r="J24" s="61"/>
      <c r="K24" s="50"/>
      <c r="L24" s="61"/>
    </row>
    <row r="25" spans="1:13" ht="12.6" customHeight="1" x14ac:dyDescent="0.25">
      <c r="A25" s="12">
        <v>16</v>
      </c>
      <c r="B25" s="1"/>
      <c r="C25" s="15" t="s">
        <v>173</v>
      </c>
      <c r="D25" s="1" t="s">
        <v>61</v>
      </c>
      <c r="E25" s="19">
        <f>565.9+3.7+11</f>
        <v>580.6</v>
      </c>
      <c r="F25" s="19">
        <f>398.8+3</f>
        <v>401.8</v>
      </c>
      <c r="I25" s="61"/>
      <c r="J25" s="61"/>
      <c r="K25" s="50"/>
      <c r="L25" s="61"/>
    </row>
    <row r="26" spans="1:13" ht="12.6" customHeight="1" x14ac:dyDescent="0.25">
      <c r="A26" s="12">
        <v>17</v>
      </c>
      <c r="B26" s="1"/>
      <c r="C26" s="24" t="s">
        <v>174</v>
      </c>
      <c r="D26" s="1" t="s">
        <v>61</v>
      </c>
      <c r="E26" s="19">
        <f>392.2+15+6.7</f>
        <v>413.9</v>
      </c>
      <c r="F26" s="19">
        <v>289.10000000000002</v>
      </c>
      <c r="I26" s="61"/>
      <c r="J26" s="61"/>
      <c r="K26" s="50"/>
      <c r="L26" s="61"/>
    </row>
    <row r="27" spans="1:13" ht="12.6" customHeight="1" x14ac:dyDescent="0.25">
      <c r="A27" s="12">
        <v>18</v>
      </c>
      <c r="B27" s="1"/>
      <c r="C27" s="15" t="s">
        <v>121</v>
      </c>
      <c r="D27" s="1" t="s">
        <v>61</v>
      </c>
      <c r="E27" s="19">
        <f>385.3+1.7+7.1</f>
        <v>394.1</v>
      </c>
      <c r="F27" s="19">
        <f>263.5+1.7+19.4</f>
        <v>284.59999999999997</v>
      </c>
      <c r="I27" s="61"/>
      <c r="J27" s="61"/>
      <c r="K27" s="50"/>
      <c r="L27" s="61"/>
    </row>
    <row r="28" spans="1:13" ht="12.6" customHeight="1" x14ac:dyDescent="0.25">
      <c r="A28" s="12">
        <v>19</v>
      </c>
      <c r="B28" s="1"/>
      <c r="C28" s="15" t="s">
        <v>41</v>
      </c>
      <c r="D28" s="1" t="s">
        <v>61</v>
      </c>
      <c r="E28" s="19">
        <f>244.4+3.5</f>
        <v>247.9</v>
      </c>
      <c r="F28" s="19">
        <f>185.8+11.6</f>
        <v>197.4</v>
      </c>
      <c r="I28" s="61"/>
      <c r="J28" s="61"/>
      <c r="K28" s="50"/>
      <c r="L28" s="61"/>
    </row>
    <row r="29" spans="1:13" ht="12.6" customHeight="1" x14ac:dyDescent="0.25">
      <c r="A29" s="12">
        <v>20</v>
      </c>
      <c r="B29" s="1"/>
      <c r="C29" s="15" t="s">
        <v>137</v>
      </c>
      <c r="D29" s="1" t="s">
        <v>61</v>
      </c>
      <c r="E29" s="19">
        <f>710.6+6.7+11.3-3.1</f>
        <v>725.5</v>
      </c>
      <c r="F29" s="19">
        <v>513.29999999999995</v>
      </c>
      <c r="I29" s="61"/>
      <c r="J29" s="61"/>
      <c r="K29" s="50"/>
      <c r="L29" s="61"/>
    </row>
    <row r="30" spans="1:13" ht="12.6" customHeight="1" x14ac:dyDescent="0.25">
      <c r="A30" s="12">
        <v>21</v>
      </c>
      <c r="B30" s="1"/>
      <c r="C30" s="15" t="s">
        <v>152</v>
      </c>
      <c r="D30" s="1" t="s">
        <v>61</v>
      </c>
      <c r="E30" s="19">
        <f>162.2+3.6+2.5+3.5</f>
        <v>171.79999999999998</v>
      </c>
      <c r="F30" s="19">
        <v>119.8</v>
      </c>
      <c r="I30" s="61"/>
      <c r="J30" s="61"/>
      <c r="K30" s="50"/>
      <c r="L30" s="61"/>
    </row>
    <row r="31" spans="1:13" ht="12.6" customHeight="1" x14ac:dyDescent="0.25">
      <c r="A31" s="12">
        <v>22</v>
      </c>
      <c r="B31" s="1"/>
      <c r="C31" s="15" t="s">
        <v>42</v>
      </c>
      <c r="D31" s="1" t="s">
        <v>61</v>
      </c>
      <c r="E31" s="19">
        <f>204.1+12.8+2.6</f>
        <v>219.5</v>
      </c>
      <c r="F31" s="19">
        <f>160.5+12.6-0.9</f>
        <v>172.2</v>
      </c>
      <c r="I31" s="61"/>
      <c r="J31" s="61"/>
      <c r="K31" s="50"/>
      <c r="L31" s="61"/>
    </row>
    <row r="32" spans="1:13" ht="12.6" customHeight="1" x14ac:dyDescent="0.25">
      <c r="A32" s="12">
        <v>23</v>
      </c>
      <c r="B32" s="1"/>
      <c r="C32" s="15" t="s">
        <v>138</v>
      </c>
      <c r="D32" s="1" t="s">
        <v>61</v>
      </c>
      <c r="E32" s="19">
        <f>189.5-38</f>
        <v>151.5</v>
      </c>
      <c r="F32" s="19">
        <f>143.3-46.9</f>
        <v>96.4</v>
      </c>
      <c r="I32" s="61"/>
      <c r="J32" s="61"/>
      <c r="K32" s="50"/>
      <c r="L32" s="61"/>
    </row>
    <row r="33" spans="1:12" ht="52.8" x14ac:dyDescent="0.25">
      <c r="A33" s="12">
        <v>24</v>
      </c>
      <c r="B33" s="1"/>
      <c r="C33" s="15" t="s">
        <v>112</v>
      </c>
      <c r="D33" s="14" t="s">
        <v>446</v>
      </c>
      <c r="E33" s="19">
        <f>454.6+8.8</f>
        <v>463.40000000000003</v>
      </c>
      <c r="F33" s="19">
        <f>322.5+11.3</f>
        <v>333.8</v>
      </c>
      <c r="I33" s="61"/>
      <c r="J33" s="61"/>
      <c r="K33" s="50"/>
      <c r="L33" s="61"/>
    </row>
    <row r="34" spans="1:12" ht="12.6" customHeight="1" x14ac:dyDescent="0.25">
      <c r="A34" s="12">
        <v>25</v>
      </c>
      <c r="B34" s="1"/>
      <c r="C34" s="21" t="s">
        <v>450</v>
      </c>
      <c r="D34" s="14" t="s">
        <v>61</v>
      </c>
      <c r="E34" s="19">
        <f>0.2+6.5+8+24.7</f>
        <v>39.4</v>
      </c>
      <c r="F34" s="19"/>
      <c r="I34" s="61"/>
      <c r="J34" s="61"/>
      <c r="K34" s="50"/>
      <c r="L34" s="61"/>
    </row>
    <row r="35" spans="1:12" ht="12.6" customHeight="1" x14ac:dyDescent="0.25">
      <c r="A35" s="12">
        <v>26</v>
      </c>
      <c r="B35" s="1"/>
      <c r="C35" s="24" t="s">
        <v>54</v>
      </c>
      <c r="D35" s="1" t="s">
        <v>62</v>
      </c>
      <c r="E35" s="19">
        <f>291.7+11+5.6+22.5</f>
        <v>330.8</v>
      </c>
      <c r="F35" s="19">
        <f>284.8+22.5</f>
        <v>307.3</v>
      </c>
      <c r="I35" s="61"/>
      <c r="J35" s="61"/>
      <c r="K35" s="50"/>
      <c r="L35" s="61"/>
    </row>
    <row r="36" spans="1:12" ht="12.6" customHeight="1" x14ac:dyDescent="0.25">
      <c r="A36" s="177">
        <v>27</v>
      </c>
      <c r="B36" s="1"/>
      <c r="C36" s="24" t="s">
        <v>47</v>
      </c>
      <c r="D36" s="179" t="s">
        <v>62</v>
      </c>
      <c r="E36" s="19">
        <f>329.8+5</f>
        <v>334.8</v>
      </c>
      <c r="F36" s="19">
        <v>323.5</v>
      </c>
      <c r="G36" s="4"/>
      <c r="I36" s="61"/>
      <c r="J36" s="61"/>
      <c r="K36" s="50"/>
      <c r="L36" s="61"/>
    </row>
    <row r="37" spans="1:12" ht="26.4" x14ac:dyDescent="0.25">
      <c r="A37" s="178"/>
      <c r="B37" s="1"/>
      <c r="C37" s="15" t="s">
        <v>600</v>
      </c>
      <c r="D37" s="180"/>
      <c r="E37" s="19">
        <v>5</v>
      </c>
      <c r="F37" s="19"/>
      <c r="G37" s="4"/>
      <c r="I37" s="61"/>
      <c r="J37" s="61"/>
      <c r="K37" s="50"/>
      <c r="L37" s="61"/>
    </row>
    <row r="38" spans="1:12" ht="12.6" customHeight="1" x14ac:dyDescent="0.25">
      <c r="A38" s="12">
        <v>28</v>
      </c>
      <c r="B38" s="1"/>
      <c r="C38" s="24" t="s">
        <v>48</v>
      </c>
      <c r="D38" s="1" t="s">
        <v>62</v>
      </c>
      <c r="E38" s="19">
        <v>890.6</v>
      </c>
      <c r="F38" s="19">
        <f>871.2-5.2</f>
        <v>866</v>
      </c>
      <c r="I38" s="61"/>
      <c r="J38" s="61"/>
      <c r="K38" s="50"/>
      <c r="L38" s="61"/>
    </row>
    <row r="39" spans="1:12" ht="39.6" x14ac:dyDescent="0.25">
      <c r="A39" s="12">
        <v>29</v>
      </c>
      <c r="B39" s="1"/>
      <c r="C39" s="24" t="s">
        <v>134</v>
      </c>
      <c r="D39" s="14" t="s">
        <v>155</v>
      </c>
      <c r="E39" s="19">
        <f>135+2.7+1.4+1.2</f>
        <v>140.29999999999998</v>
      </c>
      <c r="F39" s="19">
        <v>113.4</v>
      </c>
      <c r="I39" s="61"/>
      <c r="J39" s="61"/>
      <c r="K39" s="50"/>
      <c r="L39" s="61"/>
    </row>
    <row r="40" spans="1:12" ht="12.6" customHeight="1" x14ac:dyDescent="0.25">
      <c r="A40" s="12">
        <v>30</v>
      </c>
      <c r="B40" s="1"/>
      <c r="C40" s="83" t="s">
        <v>15</v>
      </c>
      <c r="D40" s="1" t="s">
        <v>58</v>
      </c>
      <c r="E40" s="19">
        <f>134.7+1.9+0.9</f>
        <v>137.5</v>
      </c>
      <c r="F40" s="19">
        <f>108.4+4.5</f>
        <v>112.9</v>
      </c>
      <c r="I40" s="61"/>
      <c r="J40" s="61"/>
      <c r="K40" s="50"/>
      <c r="L40" s="61"/>
    </row>
    <row r="41" spans="1:12" ht="12.6" customHeight="1" x14ac:dyDescent="0.25">
      <c r="A41" s="12">
        <v>31</v>
      </c>
      <c r="B41" s="1"/>
      <c r="C41" s="83" t="s">
        <v>19</v>
      </c>
      <c r="D41" s="1" t="s">
        <v>58</v>
      </c>
      <c r="E41" s="19">
        <f>151.4+2.4</f>
        <v>153.80000000000001</v>
      </c>
      <c r="F41" s="19">
        <v>124.6</v>
      </c>
      <c r="G41" s="61"/>
      <c r="H41" s="61"/>
      <c r="I41" s="61"/>
      <c r="J41" s="61"/>
      <c r="K41" s="50"/>
      <c r="L41" s="61"/>
    </row>
    <row r="42" spans="1:12" ht="12.6" customHeight="1" x14ac:dyDescent="0.25">
      <c r="A42" s="12">
        <v>32</v>
      </c>
      <c r="B42" s="1"/>
      <c r="C42" s="16" t="s">
        <v>184</v>
      </c>
      <c r="D42" s="1"/>
      <c r="E42" s="57">
        <f>+E43+E47+E44+E45+E46</f>
        <v>794.80000000000007</v>
      </c>
      <c r="F42" s="57">
        <f>+F43+F45+F46+F47</f>
        <v>139.6</v>
      </c>
      <c r="G42" s="61"/>
      <c r="H42" s="61"/>
      <c r="I42" s="61"/>
      <c r="J42" s="61"/>
      <c r="K42" s="84"/>
      <c r="L42" s="61"/>
    </row>
    <row r="43" spans="1:12" ht="15" customHeight="1" x14ac:dyDescent="0.25">
      <c r="A43" s="59" t="s">
        <v>320</v>
      </c>
      <c r="B43" s="1"/>
      <c r="C43" s="24" t="s">
        <v>3</v>
      </c>
      <c r="D43" s="14" t="s">
        <v>141</v>
      </c>
      <c r="E43" s="57">
        <f>136.7+18.5-5.6</f>
        <v>149.6</v>
      </c>
      <c r="F43" s="57">
        <f>124.9+18.2-3.5</f>
        <v>139.6</v>
      </c>
      <c r="G43" s="61"/>
      <c r="H43" s="61"/>
      <c r="I43" s="61"/>
      <c r="J43" s="61"/>
      <c r="K43" s="84"/>
      <c r="L43" s="61"/>
    </row>
    <row r="44" spans="1:12" ht="26.4" x14ac:dyDescent="0.25">
      <c r="A44" s="59" t="s">
        <v>321</v>
      </c>
      <c r="B44" s="1"/>
      <c r="C44" s="15" t="s">
        <v>208</v>
      </c>
      <c r="D44" s="14" t="s">
        <v>165</v>
      </c>
      <c r="E44" s="57">
        <v>69</v>
      </c>
      <c r="F44" s="19"/>
      <c r="G44" s="61"/>
      <c r="H44" s="61"/>
      <c r="I44" s="61"/>
      <c r="J44" s="61"/>
    </row>
    <row r="45" spans="1:12" ht="26.4" x14ac:dyDescent="0.25">
      <c r="A45" s="59" t="s">
        <v>322</v>
      </c>
      <c r="B45" s="1"/>
      <c r="C45" s="85" t="s">
        <v>295</v>
      </c>
      <c r="D45" s="1" t="s">
        <v>63</v>
      </c>
      <c r="E45" s="57">
        <v>50</v>
      </c>
      <c r="F45" s="19"/>
      <c r="G45" s="61"/>
      <c r="H45" s="61"/>
      <c r="I45" s="61"/>
      <c r="J45" s="61"/>
    </row>
    <row r="46" spans="1:12" ht="12.6" customHeight="1" x14ac:dyDescent="0.25">
      <c r="A46" s="59" t="s">
        <v>323</v>
      </c>
      <c r="B46" s="1"/>
      <c r="C46" s="85" t="s">
        <v>186</v>
      </c>
      <c r="D46" s="1" t="s">
        <v>64</v>
      </c>
      <c r="E46" s="57">
        <v>14</v>
      </c>
      <c r="F46" s="19"/>
      <c r="G46" s="61"/>
      <c r="H46" s="61"/>
      <c r="I46" s="61"/>
      <c r="J46" s="61"/>
    </row>
    <row r="47" spans="1:12" ht="39" customHeight="1" x14ac:dyDescent="0.25">
      <c r="A47" s="59" t="s">
        <v>324</v>
      </c>
      <c r="B47" s="1"/>
      <c r="C47" s="64" t="s">
        <v>460</v>
      </c>
      <c r="D47" s="1"/>
      <c r="E47" s="65">
        <f>SUM(E48:E58)</f>
        <v>512.20000000000005</v>
      </c>
      <c r="F47" s="65">
        <f>SUM(F48:F58)</f>
        <v>0</v>
      </c>
      <c r="G47" s="61"/>
      <c r="H47" s="61"/>
      <c r="I47" s="61"/>
      <c r="J47" s="61"/>
    </row>
    <row r="48" spans="1:12" ht="26.4" x14ac:dyDescent="0.25">
      <c r="A48" s="59" t="s">
        <v>325</v>
      </c>
      <c r="B48" s="1"/>
      <c r="C48" s="66" t="s">
        <v>156</v>
      </c>
      <c r="D48" s="1" t="s">
        <v>61</v>
      </c>
      <c r="E48" s="57">
        <f>124.1-25</f>
        <v>99.1</v>
      </c>
      <c r="F48" s="19"/>
      <c r="G48" s="61"/>
      <c r="H48" s="61"/>
      <c r="I48" s="61"/>
      <c r="J48" s="61"/>
    </row>
    <row r="49" spans="1:15" ht="26.4" x14ac:dyDescent="0.25">
      <c r="A49" s="59" t="s">
        <v>326</v>
      </c>
      <c r="B49" s="1"/>
      <c r="C49" s="28" t="s">
        <v>462</v>
      </c>
      <c r="D49" s="1" t="s">
        <v>62</v>
      </c>
      <c r="E49" s="57">
        <f>50-9.6</f>
        <v>40.4</v>
      </c>
      <c r="F49" s="19"/>
      <c r="G49" s="61"/>
      <c r="H49" s="61"/>
      <c r="I49" s="61"/>
      <c r="J49" s="61"/>
    </row>
    <row r="50" spans="1:15" ht="26.4" x14ac:dyDescent="0.25">
      <c r="A50" s="59" t="s">
        <v>327</v>
      </c>
      <c r="B50" s="1"/>
      <c r="C50" s="67" t="s">
        <v>461</v>
      </c>
      <c r="D50" s="1" t="s">
        <v>61</v>
      </c>
      <c r="E50" s="57">
        <v>30</v>
      </c>
      <c r="F50" s="19"/>
      <c r="G50" s="61"/>
      <c r="H50" s="61"/>
      <c r="I50" s="61"/>
      <c r="J50" s="61"/>
    </row>
    <row r="51" spans="1:15" x14ac:dyDescent="0.25">
      <c r="A51" s="59" t="s">
        <v>328</v>
      </c>
      <c r="B51" s="1"/>
      <c r="C51" s="85" t="s">
        <v>601</v>
      </c>
      <c r="D51" s="1" t="s">
        <v>61</v>
      </c>
      <c r="E51" s="57">
        <v>25</v>
      </c>
      <c r="F51" s="19"/>
      <c r="G51" s="61"/>
      <c r="H51" s="61"/>
      <c r="I51" s="61"/>
      <c r="J51" s="61"/>
    </row>
    <row r="52" spans="1:15" ht="26.4" x14ac:dyDescent="0.25">
      <c r="A52" s="59" t="s">
        <v>329</v>
      </c>
      <c r="B52" s="1"/>
      <c r="C52" s="67" t="s">
        <v>302</v>
      </c>
      <c r="D52" s="14" t="s">
        <v>165</v>
      </c>
      <c r="E52" s="57">
        <v>100</v>
      </c>
      <c r="F52" s="19"/>
      <c r="G52" s="61"/>
      <c r="H52" s="61"/>
      <c r="I52" s="61"/>
      <c r="J52" s="61"/>
    </row>
    <row r="53" spans="1:15" ht="26.4" x14ac:dyDescent="0.25">
      <c r="A53" s="59" t="s">
        <v>330</v>
      </c>
      <c r="B53" s="18"/>
      <c r="C53" s="66" t="s">
        <v>303</v>
      </c>
      <c r="D53" s="14" t="s">
        <v>165</v>
      </c>
      <c r="E53" s="32">
        <v>50</v>
      </c>
      <c r="F53" s="32"/>
      <c r="G53" s="61"/>
      <c r="H53" s="61"/>
      <c r="I53" s="61"/>
      <c r="J53" s="61"/>
    </row>
    <row r="54" spans="1:15" ht="26.4" x14ac:dyDescent="0.25">
      <c r="A54" s="59" t="s">
        <v>444</v>
      </c>
      <c r="B54" s="1"/>
      <c r="C54" s="85" t="s">
        <v>209</v>
      </c>
      <c r="D54" s="14" t="s">
        <v>165</v>
      </c>
      <c r="E54" s="57">
        <v>50</v>
      </c>
      <c r="F54" s="19"/>
      <c r="G54" s="61"/>
      <c r="H54" s="61"/>
      <c r="I54" s="61"/>
      <c r="J54" s="61"/>
    </row>
    <row r="55" spans="1:15" ht="26.4" x14ac:dyDescent="0.25">
      <c r="A55" s="59" t="s">
        <v>598</v>
      </c>
      <c r="B55" s="1"/>
      <c r="C55" s="85" t="s">
        <v>463</v>
      </c>
      <c r="D55" s="14" t="s">
        <v>165</v>
      </c>
      <c r="E55" s="57">
        <f>30+10</f>
        <v>40</v>
      </c>
      <c r="F55" s="19"/>
      <c r="G55" s="61"/>
      <c r="H55" s="61"/>
      <c r="I55" s="61"/>
      <c r="J55" s="61"/>
    </row>
    <row r="56" spans="1:15" x14ac:dyDescent="0.25">
      <c r="A56" s="59" t="s">
        <v>599</v>
      </c>
      <c r="B56" s="1"/>
      <c r="C56" s="85" t="s">
        <v>597</v>
      </c>
      <c r="D56" s="14" t="s">
        <v>32</v>
      </c>
      <c r="E56" s="57">
        <v>20</v>
      </c>
      <c r="F56" s="19"/>
      <c r="G56" s="61"/>
      <c r="H56" s="61"/>
      <c r="I56" s="61"/>
      <c r="J56" s="61"/>
    </row>
    <row r="57" spans="1:15" ht="26.4" x14ac:dyDescent="0.25">
      <c r="A57" s="59" t="s">
        <v>666</v>
      </c>
      <c r="B57" s="1"/>
      <c r="C57" s="85" t="s">
        <v>464</v>
      </c>
      <c r="D57" s="14" t="s">
        <v>60</v>
      </c>
      <c r="E57" s="57">
        <f>157.2-100</f>
        <v>57.199999999999989</v>
      </c>
      <c r="F57" s="19"/>
      <c r="G57" s="61"/>
      <c r="H57" s="61"/>
      <c r="I57" s="61"/>
      <c r="J57" s="61"/>
    </row>
    <row r="58" spans="1:15" ht="26.4" x14ac:dyDescent="0.25">
      <c r="A58" s="59" t="s">
        <v>701</v>
      </c>
      <c r="B58" s="1"/>
      <c r="C58" s="85" t="s">
        <v>681</v>
      </c>
      <c r="D58" s="1" t="s">
        <v>58</v>
      </c>
      <c r="E58" s="57">
        <v>0.5</v>
      </c>
      <c r="F58" s="19"/>
      <c r="G58" s="61"/>
      <c r="H58" s="61"/>
      <c r="I58" s="61"/>
      <c r="J58" s="61"/>
      <c r="O58" s="61"/>
    </row>
    <row r="59" spans="1:15" ht="20.100000000000001" customHeight="1" x14ac:dyDescent="0.25">
      <c r="A59" s="12">
        <v>33</v>
      </c>
      <c r="B59" s="11" t="s">
        <v>65</v>
      </c>
      <c r="C59" s="17" t="s">
        <v>66</v>
      </c>
      <c r="D59" s="9"/>
      <c r="E59" s="42">
        <f>+E60+E63</f>
        <v>623.79999999999995</v>
      </c>
      <c r="F59" s="42">
        <f>+F60+F63</f>
        <v>62.5</v>
      </c>
      <c r="G59" s="61"/>
      <c r="H59" s="61"/>
      <c r="I59" s="61"/>
      <c r="J59" s="61"/>
      <c r="L59" s="36"/>
      <c r="O59" s="61"/>
    </row>
    <row r="60" spans="1:15" ht="26.4" x14ac:dyDescent="0.25">
      <c r="A60" s="181">
        <v>34</v>
      </c>
      <c r="B60" s="11"/>
      <c r="C60" s="15" t="s">
        <v>187</v>
      </c>
      <c r="D60" s="184" t="s">
        <v>188</v>
      </c>
      <c r="E60" s="19">
        <f>63.7+E61+E62</f>
        <v>128.69999999999999</v>
      </c>
      <c r="F60" s="19">
        <v>62.5</v>
      </c>
      <c r="G60" s="61"/>
      <c r="H60" s="61"/>
      <c r="I60" s="61"/>
      <c r="J60" s="61"/>
      <c r="O60" s="61"/>
    </row>
    <row r="61" spans="1:15" ht="26.4" x14ac:dyDescent="0.25">
      <c r="A61" s="182"/>
      <c r="B61" s="11"/>
      <c r="C61" s="68" t="s">
        <v>566</v>
      </c>
      <c r="D61" s="185"/>
      <c r="E61" s="19">
        <v>35</v>
      </c>
      <c r="F61" s="19"/>
      <c r="G61" s="61"/>
      <c r="H61" s="61"/>
      <c r="I61" s="61"/>
      <c r="J61" s="61"/>
      <c r="O61" s="61"/>
    </row>
    <row r="62" spans="1:15" ht="21" customHeight="1" x14ac:dyDescent="0.25">
      <c r="A62" s="183"/>
      <c r="B62" s="11"/>
      <c r="C62" s="68" t="s">
        <v>667</v>
      </c>
      <c r="D62" s="186"/>
      <c r="E62" s="19">
        <v>30</v>
      </c>
      <c r="F62" s="19"/>
      <c r="G62" s="61"/>
      <c r="H62" s="61"/>
      <c r="I62" s="61"/>
      <c r="J62" s="61"/>
      <c r="O62" s="61"/>
    </row>
    <row r="63" spans="1:15" ht="12.6" customHeight="1" x14ac:dyDescent="0.25">
      <c r="A63" s="12">
        <v>35</v>
      </c>
      <c r="B63" s="1"/>
      <c r="C63" s="16" t="s">
        <v>184</v>
      </c>
      <c r="D63" s="14"/>
      <c r="E63" s="19">
        <f>+E65+E66+E67+E68+E69+E70+E71+E72+E73+E74+E75+E76+E77+E79+E80+E64+E78</f>
        <v>495.1</v>
      </c>
      <c r="F63" s="19">
        <f>+F65+F66+F67+F68+F69+F70+F71+F72+F73+F74+F75+F76+F77+F79+F80+F64+F78</f>
        <v>0</v>
      </c>
      <c r="G63" s="61"/>
      <c r="H63" s="61"/>
      <c r="I63" s="61"/>
      <c r="J63" s="61"/>
      <c r="O63" s="61"/>
    </row>
    <row r="64" spans="1:15" ht="12.6" customHeight="1" x14ac:dyDescent="0.25">
      <c r="A64" s="59" t="s">
        <v>331</v>
      </c>
      <c r="B64" s="1"/>
      <c r="C64" s="24" t="s">
        <v>3</v>
      </c>
      <c r="D64" s="1" t="s">
        <v>110</v>
      </c>
      <c r="E64" s="19">
        <v>3</v>
      </c>
      <c r="F64" s="19"/>
      <c r="G64" s="61"/>
      <c r="H64" s="61"/>
      <c r="I64" s="61"/>
      <c r="J64" s="61"/>
      <c r="O64" s="61"/>
    </row>
    <row r="65" spans="1:15" ht="42" customHeight="1" x14ac:dyDescent="0.25">
      <c r="A65" s="59" t="s">
        <v>332</v>
      </c>
      <c r="B65" s="1"/>
      <c r="C65" s="86" t="s">
        <v>465</v>
      </c>
      <c r="D65" s="14" t="s">
        <v>67</v>
      </c>
      <c r="E65" s="19">
        <f>43.9+1</f>
        <v>44.9</v>
      </c>
      <c r="F65" s="19"/>
      <c r="G65" s="61"/>
      <c r="H65" s="61"/>
      <c r="I65" s="61"/>
      <c r="J65" s="61"/>
      <c r="O65" s="61"/>
    </row>
    <row r="66" spans="1:15" x14ac:dyDescent="0.25">
      <c r="A66" s="59" t="s">
        <v>333</v>
      </c>
      <c r="B66" s="1"/>
      <c r="C66" s="86" t="s">
        <v>292</v>
      </c>
      <c r="D66" s="14" t="s">
        <v>68</v>
      </c>
      <c r="E66" s="19">
        <v>20</v>
      </c>
      <c r="F66" s="19"/>
      <c r="G66" s="61"/>
      <c r="H66" s="61"/>
      <c r="I66" s="61"/>
      <c r="J66" s="61"/>
      <c r="O66" s="61"/>
    </row>
    <row r="67" spans="1:15" ht="26.4" x14ac:dyDescent="0.25">
      <c r="A67" s="59" t="s">
        <v>334</v>
      </c>
      <c r="B67" s="1"/>
      <c r="C67" s="86" t="s">
        <v>296</v>
      </c>
      <c r="D67" s="14" t="s">
        <v>67</v>
      </c>
      <c r="E67" s="19">
        <v>5.2</v>
      </c>
      <c r="F67" s="19"/>
      <c r="G67" s="61"/>
      <c r="H67" s="61"/>
      <c r="I67" s="61"/>
      <c r="J67" s="61"/>
      <c r="O67" s="61"/>
    </row>
    <row r="68" spans="1:15" ht="39.6" x14ac:dyDescent="0.25">
      <c r="A68" s="59" t="s">
        <v>335</v>
      </c>
      <c r="B68" s="1"/>
      <c r="C68" s="86" t="s">
        <v>466</v>
      </c>
      <c r="D68" s="14" t="s">
        <v>586</v>
      </c>
      <c r="E68" s="19">
        <v>18.2</v>
      </c>
      <c r="F68" s="19"/>
      <c r="G68" s="61"/>
      <c r="H68" s="61"/>
      <c r="I68" s="61"/>
      <c r="J68" s="61"/>
      <c r="O68" s="61"/>
    </row>
    <row r="69" spans="1:15" ht="26.4" x14ac:dyDescent="0.25">
      <c r="A69" s="59" t="s">
        <v>336</v>
      </c>
      <c r="B69" s="1"/>
      <c r="C69" s="86" t="s">
        <v>293</v>
      </c>
      <c r="D69" s="14" t="s">
        <v>67</v>
      </c>
      <c r="E69" s="19">
        <f>25.2+1</f>
        <v>26.2</v>
      </c>
      <c r="F69" s="19"/>
      <c r="G69" s="61"/>
      <c r="H69" s="61"/>
      <c r="I69" s="61"/>
      <c r="J69" s="61"/>
      <c r="O69" s="61"/>
    </row>
    <row r="70" spans="1:15" ht="39.6" x14ac:dyDescent="0.25">
      <c r="A70" s="59" t="s">
        <v>337</v>
      </c>
      <c r="B70" s="1"/>
      <c r="C70" s="86" t="s">
        <v>294</v>
      </c>
      <c r="D70" s="14" t="s">
        <v>128</v>
      </c>
      <c r="E70" s="19">
        <f>48+48.5</f>
        <v>96.5</v>
      </c>
      <c r="F70" s="19"/>
      <c r="G70" s="61"/>
      <c r="H70" s="61"/>
      <c r="I70" s="61"/>
      <c r="J70" s="61"/>
      <c r="O70" s="61"/>
    </row>
    <row r="71" spans="1:15" ht="45" customHeight="1" x14ac:dyDescent="0.25">
      <c r="A71" s="59" t="s">
        <v>338</v>
      </c>
      <c r="B71" s="1"/>
      <c r="C71" s="86" t="s">
        <v>189</v>
      </c>
      <c r="D71" s="14" t="s">
        <v>196</v>
      </c>
      <c r="E71" s="19">
        <f>7-1</f>
        <v>6</v>
      </c>
      <c r="F71" s="19"/>
      <c r="G71" s="61"/>
      <c r="H71" s="61"/>
      <c r="I71" s="61"/>
      <c r="J71" s="61"/>
      <c r="O71" s="61"/>
    </row>
    <row r="72" spans="1:15" ht="26.4" x14ac:dyDescent="0.25">
      <c r="A72" s="59" t="s">
        <v>339</v>
      </c>
      <c r="B72" s="1"/>
      <c r="C72" s="86" t="s">
        <v>467</v>
      </c>
      <c r="D72" s="14" t="s">
        <v>67</v>
      </c>
      <c r="E72" s="19">
        <f>23-9</f>
        <v>14</v>
      </c>
      <c r="F72" s="19"/>
      <c r="G72" s="61"/>
      <c r="H72" s="61"/>
      <c r="I72" s="61"/>
      <c r="J72" s="61"/>
      <c r="O72" s="61"/>
    </row>
    <row r="73" spans="1:15" ht="26.4" x14ac:dyDescent="0.25">
      <c r="A73" s="59" t="s">
        <v>340</v>
      </c>
      <c r="B73" s="1"/>
      <c r="C73" s="86" t="s">
        <v>230</v>
      </c>
      <c r="D73" s="14" t="s">
        <v>69</v>
      </c>
      <c r="E73" s="19">
        <v>21.1</v>
      </c>
      <c r="F73" s="19"/>
      <c r="G73" s="61"/>
      <c r="H73" s="61"/>
      <c r="I73" s="61"/>
      <c r="J73" s="61"/>
      <c r="O73" s="61"/>
    </row>
    <row r="74" spans="1:15" ht="26.4" x14ac:dyDescent="0.25">
      <c r="A74" s="59" t="s">
        <v>341</v>
      </c>
      <c r="B74" s="1"/>
      <c r="C74" s="86" t="s">
        <v>288</v>
      </c>
      <c r="D74" s="14" t="s">
        <v>69</v>
      </c>
      <c r="E74" s="19">
        <v>19.100000000000001</v>
      </c>
      <c r="F74" s="19"/>
      <c r="G74" s="61"/>
      <c r="H74" s="61"/>
      <c r="I74" s="61"/>
      <c r="J74" s="61"/>
      <c r="O74" s="61"/>
    </row>
    <row r="75" spans="1:15" ht="27.6" customHeight="1" x14ac:dyDescent="0.25">
      <c r="A75" s="59" t="s">
        <v>342</v>
      </c>
      <c r="B75" s="1"/>
      <c r="C75" s="69" t="s">
        <v>468</v>
      </c>
      <c r="D75" s="14" t="s">
        <v>196</v>
      </c>
      <c r="E75" s="19">
        <v>31.8</v>
      </c>
      <c r="F75" s="19"/>
      <c r="G75" s="61"/>
      <c r="H75" s="61"/>
      <c r="I75" s="61"/>
      <c r="J75" s="61"/>
      <c r="O75" s="61"/>
    </row>
    <row r="76" spans="1:15" ht="27.6" customHeight="1" x14ac:dyDescent="0.25">
      <c r="A76" s="59" t="s">
        <v>343</v>
      </c>
      <c r="B76" s="1"/>
      <c r="C76" s="69" t="s">
        <v>469</v>
      </c>
      <c r="D76" s="14" t="s">
        <v>196</v>
      </c>
      <c r="E76" s="19">
        <v>41.4</v>
      </c>
      <c r="F76" s="19"/>
      <c r="G76" s="61"/>
      <c r="H76" s="61"/>
      <c r="I76" s="61"/>
      <c r="J76" s="61"/>
      <c r="O76" s="61"/>
    </row>
    <row r="77" spans="1:15" ht="39.6" x14ac:dyDescent="0.25">
      <c r="A77" s="59" t="s">
        <v>344</v>
      </c>
      <c r="B77" s="1"/>
      <c r="C77" s="69" t="s">
        <v>470</v>
      </c>
      <c r="D77" s="14" t="s">
        <v>586</v>
      </c>
      <c r="E77" s="19">
        <v>39</v>
      </c>
      <c r="F77" s="19"/>
      <c r="G77" s="61"/>
      <c r="H77" s="61"/>
      <c r="I77" s="61"/>
      <c r="J77" s="61"/>
      <c r="O77" s="61"/>
    </row>
    <row r="78" spans="1:15" ht="39.6" x14ac:dyDescent="0.25">
      <c r="A78" s="59" t="s">
        <v>576</v>
      </c>
      <c r="B78" s="1"/>
      <c r="C78" s="69" t="s">
        <v>685</v>
      </c>
      <c r="D78" s="14"/>
      <c r="E78" s="19">
        <v>8.3000000000000007</v>
      </c>
      <c r="F78" s="19"/>
      <c r="G78" s="61"/>
      <c r="H78" s="61"/>
      <c r="I78" s="61"/>
      <c r="J78" s="61"/>
      <c r="O78" s="61"/>
    </row>
    <row r="79" spans="1:15" ht="29.25" customHeight="1" x14ac:dyDescent="0.25">
      <c r="A79" s="59" t="s">
        <v>577</v>
      </c>
      <c r="B79" s="1"/>
      <c r="C79" s="86" t="s">
        <v>287</v>
      </c>
      <c r="D79" s="14" t="s">
        <v>70</v>
      </c>
      <c r="E79" s="19">
        <v>87.3</v>
      </c>
      <c r="F79" s="19"/>
      <c r="G79" s="61"/>
      <c r="H79" s="61"/>
      <c r="I79" s="61"/>
      <c r="J79" s="61"/>
      <c r="O79" s="61"/>
    </row>
    <row r="80" spans="1:15" ht="38.4" customHeight="1" x14ac:dyDescent="0.25">
      <c r="A80" s="59" t="s">
        <v>702</v>
      </c>
      <c r="B80" s="1"/>
      <c r="C80" s="64" t="s">
        <v>460</v>
      </c>
      <c r="D80" s="14"/>
      <c r="E80" s="65">
        <f>+E81+E82+E83</f>
        <v>13.099999999999998</v>
      </c>
      <c r="F80" s="65">
        <f>+F81+F82+F83</f>
        <v>0</v>
      </c>
      <c r="G80" s="61"/>
      <c r="H80" s="61"/>
      <c r="I80" s="61"/>
      <c r="J80" s="61"/>
      <c r="O80" s="61"/>
    </row>
    <row r="81" spans="1:15" ht="26.4" x14ac:dyDescent="0.25">
      <c r="A81" s="59" t="s">
        <v>703</v>
      </c>
      <c r="B81" s="1"/>
      <c r="C81" s="86" t="s">
        <v>198</v>
      </c>
      <c r="D81" s="14" t="s">
        <v>128</v>
      </c>
      <c r="E81" s="19">
        <f>7-6.9</f>
        <v>9.9999999999999645E-2</v>
      </c>
      <c r="F81" s="19"/>
      <c r="G81" s="61"/>
      <c r="H81" s="61"/>
      <c r="I81" s="61"/>
      <c r="J81" s="61"/>
      <c r="O81" s="61"/>
    </row>
    <row r="82" spans="1:15" ht="26.4" x14ac:dyDescent="0.25">
      <c r="A82" s="59" t="s">
        <v>704</v>
      </c>
      <c r="B82" s="1"/>
      <c r="C82" s="28" t="s">
        <v>190</v>
      </c>
      <c r="D82" s="14" t="s">
        <v>69</v>
      </c>
      <c r="E82" s="19">
        <v>6.3</v>
      </c>
      <c r="F82" s="19"/>
      <c r="G82" s="61"/>
      <c r="H82" s="61"/>
      <c r="I82" s="61"/>
      <c r="J82" s="61"/>
      <c r="O82" s="61"/>
    </row>
    <row r="83" spans="1:15" ht="12.6" customHeight="1" x14ac:dyDescent="0.25">
      <c r="A83" s="59" t="s">
        <v>705</v>
      </c>
      <c r="B83" s="1"/>
      <c r="C83" s="28" t="s">
        <v>443</v>
      </c>
      <c r="D83" s="14" t="s">
        <v>128</v>
      </c>
      <c r="E83" s="19">
        <f>15-8.3</f>
        <v>6.6999999999999993</v>
      </c>
      <c r="F83" s="19"/>
      <c r="G83" s="61"/>
      <c r="H83" s="61"/>
      <c r="I83" s="61"/>
      <c r="J83" s="61"/>
      <c r="O83" s="61"/>
    </row>
    <row r="84" spans="1:15" ht="21.75" customHeight="1" x14ac:dyDescent="0.25">
      <c r="A84" s="12">
        <v>36</v>
      </c>
      <c r="B84" s="11" t="s">
        <v>21</v>
      </c>
      <c r="C84" s="17" t="s">
        <v>22</v>
      </c>
      <c r="D84" s="9"/>
      <c r="E84" s="42">
        <f>+E85+E88+E89+E90+E91+E92+E111+E112+E113+E114+E115+E116+E117+E118+E119+E120+E121</f>
        <v>9702.1000000000022</v>
      </c>
      <c r="F84" s="42">
        <f>+F85+F88+F89+F90+F91+F92+F111+F112+F113+F114+F115+F116+F117+F118+F119+F120+F121</f>
        <v>2996.2000000000003</v>
      </c>
      <c r="G84" s="61"/>
      <c r="H84" s="61"/>
      <c r="I84" s="61"/>
      <c r="J84" s="61"/>
      <c r="L84" s="36"/>
      <c r="O84" s="61"/>
    </row>
    <row r="85" spans="1:15" ht="12.6" customHeight="1" x14ac:dyDescent="0.25">
      <c r="A85" s="187">
        <v>37</v>
      </c>
      <c r="B85" s="188"/>
      <c r="C85" s="24" t="s">
        <v>1</v>
      </c>
      <c r="D85" s="189" t="s">
        <v>71</v>
      </c>
      <c r="E85" s="19">
        <f>1240-53.2+15+3.4+1.7+3.1</f>
        <v>1210</v>
      </c>
      <c r="F85" s="19">
        <f>985.8-52.4</f>
        <v>933.4</v>
      </c>
      <c r="G85" s="61"/>
      <c r="H85" s="61"/>
      <c r="I85" s="61"/>
      <c r="J85" s="61"/>
      <c r="O85" s="61"/>
    </row>
    <row r="86" spans="1:15" ht="12.6" customHeight="1" x14ac:dyDescent="0.25">
      <c r="A86" s="187"/>
      <c r="B86" s="188"/>
      <c r="C86" s="70" t="s">
        <v>459</v>
      </c>
      <c r="D86" s="189"/>
      <c r="E86" s="19">
        <f>186.9+15+3.1</f>
        <v>205</v>
      </c>
      <c r="F86" s="19"/>
      <c r="G86" s="61"/>
      <c r="H86" s="61"/>
      <c r="I86" s="61"/>
      <c r="J86" s="61"/>
      <c r="O86" s="61"/>
    </row>
    <row r="87" spans="1:15" ht="12.6" customHeight="1" x14ac:dyDescent="0.25">
      <c r="A87" s="187"/>
      <c r="B87" s="188"/>
      <c r="C87" s="68" t="s">
        <v>199</v>
      </c>
      <c r="D87" s="189"/>
      <c r="E87" s="19">
        <v>1</v>
      </c>
      <c r="F87" s="19"/>
      <c r="G87" s="61"/>
      <c r="H87" s="61"/>
      <c r="I87" s="61"/>
      <c r="J87" s="61"/>
      <c r="O87" s="61"/>
    </row>
    <row r="88" spans="1:15" ht="12.6" customHeight="1" x14ac:dyDescent="0.25">
      <c r="A88" s="12">
        <v>38</v>
      </c>
      <c r="B88" s="1"/>
      <c r="C88" s="48" t="s">
        <v>2</v>
      </c>
      <c r="D88" s="87" t="s">
        <v>72</v>
      </c>
      <c r="E88" s="19">
        <f>288.7+6.1-2.9+4.2</f>
        <v>296.10000000000002</v>
      </c>
      <c r="F88" s="19">
        <f>214.4-2.9</f>
        <v>211.5</v>
      </c>
      <c r="G88" s="61"/>
      <c r="H88" s="61"/>
      <c r="I88" s="61"/>
      <c r="J88" s="61"/>
      <c r="O88" s="61"/>
    </row>
    <row r="89" spans="1:15" ht="12.6" customHeight="1" x14ac:dyDescent="0.25">
      <c r="A89" s="12">
        <v>39</v>
      </c>
      <c r="B89" s="1"/>
      <c r="C89" s="83" t="s">
        <v>15</v>
      </c>
      <c r="D89" s="14" t="s">
        <v>104</v>
      </c>
      <c r="E89" s="19">
        <f>307.3+2.8-11.6+3+2+0.5</f>
        <v>304</v>
      </c>
      <c r="F89" s="32">
        <f>269.7-11.4+5.8</f>
        <v>264.10000000000002</v>
      </c>
      <c r="G89" s="61"/>
      <c r="H89" s="61"/>
      <c r="I89" s="61"/>
      <c r="J89" s="61"/>
      <c r="O89" s="61"/>
    </row>
    <row r="90" spans="1:15" ht="12.6" customHeight="1" x14ac:dyDescent="0.25">
      <c r="A90" s="12">
        <v>40</v>
      </c>
      <c r="B90" s="1"/>
      <c r="C90" s="83" t="s">
        <v>19</v>
      </c>
      <c r="D90" s="23" t="s">
        <v>72</v>
      </c>
      <c r="E90" s="19">
        <f>322.1+4.3-8.2+2.4</f>
        <v>320.60000000000002</v>
      </c>
      <c r="F90" s="19">
        <f>270.4-8.1</f>
        <v>262.29999999999995</v>
      </c>
      <c r="G90" s="61"/>
      <c r="H90" s="61"/>
      <c r="I90" s="61"/>
      <c r="J90" s="61"/>
      <c r="L90" s="61"/>
      <c r="O90" s="61"/>
    </row>
    <row r="91" spans="1:15" ht="12.6" customHeight="1" x14ac:dyDescent="0.25">
      <c r="A91" s="12">
        <v>41</v>
      </c>
      <c r="B91" s="1"/>
      <c r="C91" s="24" t="s">
        <v>153</v>
      </c>
      <c r="D91" s="87" t="s">
        <v>23</v>
      </c>
      <c r="E91" s="19">
        <f>1291.2+9.2-46.3+8.9+26.4</f>
        <v>1289.4000000000003</v>
      </c>
      <c r="F91" s="19">
        <f>1014.1-45.6</f>
        <v>968.5</v>
      </c>
      <c r="G91" s="61"/>
      <c r="H91" s="61"/>
      <c r="I91" s="61"/>
      <c r="J91" s="61"/>
      <c r="O91" s="61"/>
    </row>
    <row r="92" spans="1:15" ht="12.6" customHeight="1" x14ac:dyDescent="0.25">
      <c r="A92" s="12">
        <v>42</v>
      </c>
      <c r="B92" s="1"/>
      <c r="C92" s="16" t="s">
        <v>184</v>
      </c>
      <c r="D92" s="1"/>
      <c r="E92" s="57">
        <f>+E93+E94+E95+E97+E98+E99+E100+E96+E101+E102+E105+E103+E104</f>
        <v>2708.0000000000005</v>
      </c>
      <c r="F92" s="57">
        <f>+F93+F94+F95+F97+F98+F99+F100+F96+F101+F102+F105+F103</f>
        <v>71.7</v>
      </c>
      <c r="G92" s="61"/>
      <c r="H92" s="61"/>
      <c r="I92" s="61"/>
      <c r="J92" s="61"/>
      <c r="O92" s="61"/>
    </row>
    <row r="93" spans="1:15" ht="66" x14ac:dyDescent="0.25">
      <c r="A93" s="59" t="s">
        <v>345</v>
      </c>
      <c r="B93" s="1"/>
      <c r="C93" s="16" t="s">
        <v>3</v>
      </c>
      <c r="D93" s="23" t="s">
        <v>836</v>
      </c>
      <c r="E93" s="19">
        <f>1173.2-53.6-138+75.7-53.9+1.7+93</f>
        <v>1098.1000000000004</v>
      </c>
      <c r="F93" s="19">
        <f>70+1.7</f>
        <v>71.7</v>
      </c>
      <c r="G93" s="61"/>
      <c r="H93" s="61"/>
      <c r="I93" s="61"/>
      <c r="J93" s="61"/>
      <c r="O93" s="61"/>
    </row>
    <row r="94" spans="1:15" ht="27.6" customHeight="1" x14ac:dyDescent="0.25">
      <c r="A94" s="59" t="s">
        <v>346</v>
      </c>
      <c r="B94" s="1"/>
      <c r="C94" s="67" t="s">
        <v>471</v>
      </c>
      <c r="D94" s="88" t="s">
        <v>73</v>
      </c>
      <c r="E94" s="19">
        <f>50+18</f>
        <v>68</v>
      </c>
      <c r="F94" s="19"/>
      <c r="G94" s="61"/>
      <c r="H94" s="61"/>
      <c r="I94" s="61"/>
      <c r="J94" s="61"/>
      <c r="O94" s="61"/>
    </row>
    <row r="95" spans="1:15" ht="26.25" customHeight="1" x14ac:dyDescent="0.25">
      <c r="A95" s="59" t="s">
        <v>347</v>
      </c>
      <c r="B95" s="1"/>
      <c r="C95" s="86" t="s">
        <v>472</v>
      </c>
      <c r="D95" s="88" t="s">
        <v>73</v>
      </c>
      <c r="E95" s="19">
        <f>150+76+7.8</f>
        <v>233.8</v>
      </c>
      <c r="F95" s="19"/>
      <c r="G95" s="61"/>
      <c r="H95" s="61"/>
      <c r="I95" s="61"/>
      <c r="J95" s="61"/>
      <c r="O95" s="61"/>
    </row>
    <row r="96" spans="1:15" ht="28.5" customHeight="1" x14ac:dyDescent="0.25">
      <c r="A96" s="59" t="s">
        <v>348</v>
      </c>
      <c r="B96" s="1"/>
      <c r="C96" s="66" t="s">
        <v>473</v>
      </c>
      <c r="D96" s="1" t="s">
        <v>108</v>
      </c>
      <c r="E96" s="32">
        <v>16</v>
      </c>
      <c r="F96" s="32"/>
      <c r="G96" s="61"/>
      <c r="H96" s="61"/>
      <c r="I96" s="61"/>
      <c r="J96" s="61"/>
      <c r="O96" s="61"/>
    </row>
    <row r="97" spans="1:15" ht="12.6" customHeight="1" x14ac:dyDescent="0.25">
      <c r="A97" s="59" t="s">
        <v>349</v>
      </c>
      <c r="B97" s="1"/>
      <c r="C97" s="66" t="s">
        <v>474</v>
      </c>
      <c r="D97" s="87" t="s">
        <v>74</v>
      </c>
      <c r="E97" s="19">
        <f>80+25+48.5-27.5</f>
        <v>126</v>
      </c>
      <c r="F97" s="19"/>
      <c r="G97" s="61"/>
      <c r="H97" s="61"/>
      <c r="I97" s="61"/>
      <c r="J97" s="61"/>
      <c r="O97" s="61"/>
    </row>
    <row r="98" spans="1:15" ht="26.25" customHeight="1" x14ac:dyDescent="0.25">
      <c r="A98" s="59" t="s">
        <v>350</v>
      </c>
      <c r="B98" s="1"/>
      <c r="C98" s="66" t="s">
        <v>475</v>
      </c>
      <c r="D98" s="88" t="s">
        <v>74</v>
      </c>
      <c r="E98" s="19">
        <f>97+34-10-5+13.5+3</f>
        <v>132.5</v>
      </c>
      <c r="F98" s="19"/>
      <c r="G98" s="61"/>
      <c r="H98" s="61"/>
      <c r="I98" s="61"/>
      <c r="J98" s="61"/>
      <c r="O98" s="61"/>
    </row>
    <row r="99" spans="1:15" ht="39" customHeight="1" x14ac:dyDescent="0.25">
      <c r="A99" s="59" t="s">
        <v>351</v>
      </c>
      <c r="B99" s="1"/>
      <c r="C99" s="66" t="s">
        <v>476</v>
      </c>
      <c r="D99" s="88" t="s">
        <v>75</v>
      </c>
      <c r="E99" s="32">
        <f>376+82.2+4.4</f>
        <v>462.59999999999997</v>
      </c>
      <c r="F99" s="32"/>
      <c r="G99" s="61"/>
      <c r="H99" s="61"/>
      <c r="I99" s="61"/>
      <c r="J99" s="61"/>
      <c r="O99" s="61"/>
    </row>
    <row r="100" spans="1:15" ht="26.4" x14ac:dyDescent="0.25">
      <c r="A100" s="59" t="s">
        <v>352</v>
      </c>
      <c r="B100" s="1"/>
      <c r="C100" s="66" t="s">
        <v>299</v>
      </c>
      <c r="D100" s="1" t="s">
        <v>76</v>
      </c>
      <c r="E100" s="32">
        <v>60</v>
      </c>
      <c r="F100" s="32"/>
      <c r="G100" s="61"/>
      <c r="H100" s="61"/>
      <c r="I100" s="61"/>
      <c r="J100" s="61"/>
      <c r="O100" s="61"/>
    </row>
    <row r="101" spans="1:15" ht="26.4" x14ac:dyDescent="0.25">
      <c r="A101" s="59" t="s">
        <v>353</v>
      </c>
      <c r="B101" s="1"/>
      <c r="C101" s="66" t="s">
        <v>297</v>
      </c>
      <c r="D101" s="1" t="s">
        <v>24</v>
      </c>
      <c r="E101" s="32">
        <v>7</v>
      </c>
      <c r="F101" s="32"/>
      <c r="G101" s="61"/>
      <c r="H101" s="61"/>
      <c r="I101" s="61"/>
      <c r="J101" s="61"/>
      <c r="O101" s="61"/>
    </row>
    <row r="102" spans="1:15" x14ac:dyDescent="0.25">
      <c r="A102" s="59" t="s">
        <v>354</v>
      </c>
      <c r="B102" s="1"/>
      <c r="C102" s="66" t="s">
        <v>210</v>
      </c>
      <c r="D102" s="87" t="s">
        <v>23</v>
      </c>
      <c r="E102" s="32">
        <f>75.2+3.2+0.5</f>
        <v>78.900000000000006</v>
      </c>
      <c r="F102" s="32"/>
      <c r="G102" s="61"/>
      <c r="H102" s="61"/>
      <c r="I102" s="61"/>
      <c r="J102" s="61"/>
      <c r="O102" s="61"/>
    </row>
    <row r="103" spans="1:15" ht="26.4" x14ac:dyDescent="0.25">
      <c r="A103" s="59" t="s">
        <v>355</v>
      </c>
      <c r="B103" s="1"/>
      <c r="C103" s="66" t="s">
        <v>298</v>
      </c>
      <c r="D103" s="87" t="s">
        <v>23</v>
      </c>
      <c r="E103" s="32">
        <v>30</v>
      </c>
      <c r="F103" s="32"/>
      <c r="G103" s="61"/>
      <c r="H103" s="61"/>
      <c r="I103" s="61"/>
      <c r="J103" s="61"/>
      <c r="O103" s="61"/>
    </row>
    <row r="104" spans="1:15" ht="26.4" x14ac:dyDescent="0.25">
      <c r="A104" s="59" t="s">
        <v>356</v>
      </c>
      <c r="B104" s="1"/>
      <c r="C104" s="66" t="s">
        <v>564</v>
      </c>
      <c r="D104" s="87" t="s">
        <v>31</v>
      </c>
      <c r="E104" s="32">
        <v>13.5</v>
      </c>
      <c r="F104" s="32"/>
      <c r="G104" s="61"/>
      <c r="H104" s="61"/>
      <c r="I104" s="61"/>
      <c r="J104" s="61"/>
      <c r="O104" s="61"/>
    </row>
    <row r="105" spans="1:15" ht="39" customHeight="1" x14ac:dyDescent="0.25">
      <c r="A105" s="59" t="s">
        <v>578</v>
      </c>
      <c r="B105" s="1"/>
      <c r="C105" s="64" t="s">
        <v>460</v>
      </c>
      <c r="D105" s="11"/>
      <c r="E105" s="71">
        <f>SUM(E106:E110)</f>
        <v>381.59999999999997</v>
      </c>
      <c r="F105" s="71">
        <f>SUM(F106:F109)</f>
        <v>0</v>
      </c>
      <c r="G105" s="61"/>
      <c r="H105" s="61"/>
      <c r="I105" s="61"/>
      <c r="J105" s="61"/>
      <c r="O105" s="61"/>
    </row>
    <row r="106" spans="1:15" ht="12.6" customHeight="1" x14ac:dyDescent="0.25">
      <c r="A106" s="59" t="s">
        <v>579</v>
      </c>
      <c r="B106" s="1"/>
      <c r="C106" s="66" t="s">
        <v>157</v>
      </c>
      <c r="D106" s="1" t="s">
        <v>89</v>
      </c>
      <c r="E106" s="32">
        <f>15.2+150-15.2</f>
        <v>150</v>
      </c>
      <c r="F106" s="32"/>
      <c r="G106" s="61"/>
      <c r="H106" s="61"/>
      <c r="I106" s="61"/>
      <c r="J106" s="61"/>
      <c r="O106" s="61"/>
    </row>
    <row r="107" spans="1:15" ht="26.4" x14ac:dyDescent="0.25">
      <c r="A107" s="59" t="s">
        <v>580</v>
      </c>
      <c r="B107" s="1"/>
      <c r="C107" s="66" t="s">
        <v>477</v>
      </c>
      <c r="D107" s="14" t="s">
        <v>197</v>
      </c>
      <c r="E107" s="32">
        <v>200</v>
      </c>
      <c r="F107" s="32"/>
      <c r="G107" s="61"/>
      <c r="H107" s="61"/>
      <c r="I107" s="61"/>
      <c r="J107" s="61"/>
      <c r="O107" s="61"/>
    </row>
    <row r="108" spans="1:15" ht="12.6" customHeight="1" x14ac:dyDescent="0.25">
      <c r="A108" s="59" t="s">
        <v>581</v>
      </c>
      <c r="B108" s="1"/>
      <c r="C108" s="66" t="s">
        <v>211</v>
      </c>
      <c r="D108" s="1" t="s">
        <v>76</v>
      </c>
      <c r="E108" s="32">
        <v>30</v>
      </c>
      <c r="F108" s="32"/>
      <c r="G108" s="61"/>
      <c r="H108" s="61"/>
      <c r="I108" s="61"/>
      <c r="J108" s="61"/>
      <c r="O108" s="61"/>
    </row>
    <row r="109" spans="1:15" ht="29.4" customHeight="1" x14ac:dyDescent="0.25">
      <c r="A109" s="59" t="s">
        <v>582</v>
      </c>
      <c r="B109" s="1"/>
      <c r="C109" s="28" t="s">
        <v>304</v>
      </c>
      <c r="D109" s="1" t="s">
        <v>23</v>
      </c>
      <c r="E109" s="32">
        <f>10-9.6</f>
        <v>0.40000000000000036</v>
      </c>
      <c r="F109" s="32"/>
      <c r="G109" s="61"/>
      <c r="H109" s="61"/>
      <c r="I109" s="61"/>
      <c r="J109" s="61"/>
      <c r="O109" s="61"/>
    </row>
    <row r="110" spans="1:15" ht="29.4" customHeight="1" x14ac:dyDescent="0.25">
      <c r="A110" s="59" t="s">
        <v>723</v>
      </c>
      <c r="B110" s="1"/>
      <c r="C110" s="28" t="s">
        <v>720</v>
      </c>
      <c r="D110" s="1" t="s">
        <v>89</v>
      </c>
      <c r="E110" s="32">
        <v>1.2</v>
      </c>
      <c r="F110" s="32"/>
      <c r="G110" s="61"/>
      <c r="H110" s="61"/>
      <c r="I110" s="61"/>
      <c r="J110" s="61"/>
      <c r="K110" s="61"/>
      <c r="O110" s="61"/>
    </row>
    <row r="111" spans="1:15" ht="38.4" customHeight="1" x14ac:dyDescent="0.25">
      <c r="A111" s="12">
        <v>43</v>
      </c>
      <c r="B111" s="1"/>
      <c r="C111" s="15" t="s">
        <v>8</v>
      </c>
      <c r="D111" s="14" t="s">
        <v>115</v>
      </c>
      <c r="E111" s="19">
        <f>991.7-2.1+130.2+15.3-17-2.3</f>
        <v>1115.8</v>
      </c>
      <c r="F111" s="19">
        <f>98.2-2.1+15</f>
        <v>111.10000000000001</v>
      </c>
      <c r="G111" s="61"/>
      <c r="H111" s="61"/>
      <c r="I111" s="61"/>
      <c r="J111" s="61"/>
      <c r="K111" s="61"/>
      <c r="O111" s="61"/>
    </row>
    <row r="112" spans="1:15" ht="38.25" customHeight="1" x14ac:dyDescent="0.25">
      <c r="A112" s="12">
        <v>44</v>
      </c>
      <c r="B112" s="1"/>
      <c r="C112" s="15" t="s">
        <v>4</v>
      </c>
      <c r="D112" s="14" t="s">
        <v>140</v>
      </c>
      <c r="E112" s="19">
        <f>258.3-2+6+228.2-1.4+17</f>
        <v>506.1</v>
      </c>
      <c r="F112" s="19">
        <f>31.8-2-1.9</f>
        <v>27.900000000000002</v>
      </c>
      <c r="G112" s="61"/>
      <c r="H112" s="61"/>
      <c r="I112" s="61"/>
      <c r="J112" s="61"/>
      <c r="K112" s="61"/>
      <c r="O112" s="61"/>
    </row>
    <row r="113" spans="1:15" ht="39.75" customHeight="1" x14ac:dyDescent="0.25">
      <c r="A113" s="12">
        <v>45</v>
      </c>
      <c r="B113" s="1"/>
      <c r="C113" s="15" t="s">
        <v>5</v>
      </c>
      <c r="D113" s="14" t="s">
        <v>115</v>
      </c>
      <c r="E113" s="19">
        <f>131.6+0.5-0.9-15+155.1-2.2-63</f>
        <v>206.09999999999997</v>
      </c>
      <c r="F113" s="19">
        <f>15.3-0.9-2.4</f>
        <v>12</v>
      </c>
      <c r="G113" s="61"/>
      <c r="H113" s="61"/>
      <c r="I113" s="61"/>
      <c r="J113" s="61"/>
      <c r="K113" s="61"/>
      <c r="O113" s="61"/>
    </row>
    <row r="114" spans="1:15" ht="39.75" customHeight="1" x14ac:dyDescent="0.25">
      <c r="A114" s="12">
        <v>46</v>
      </c>
      <c r="B114" s="1"/>
      <c r="C114" s="15" t="s">
        <v>7</v>
      </c>
      <c r="D114" s="14" t="s">
        <v>115</v>
      </c>
      <c r="E114" s="19">
        <f>86.5-0.9-6+164.9-0.2-0.3</f>
        <v>244</v>
      </c>
      <c r="F114" s="19">
        <f>18.1-0.9-0.2-0.2</f>
        <v>16.800000000000004</v>
      </c>
      <c r="G114" s="61"/>
      <c r="H114" s="61"/>
      <c r="I114" s="61"/>
      <c r="J114" s="61"/>
      <c r="K114" s="61"/>
      <c r="O114" s="61"/>
    </row>
    <row r="115" spans="1:15" ht="39.75" customHeight="1" x14ac:dyDescent="0.25">
      <c r="A115" s="12">
        <v>47</v>
      </c>
      <c r="B115" s="1"/>
      <c r="C115" s="15" t="s">
        <v>6</v>
      </c>
      <c r="D115" s="14" t="s">
        <v>115</v>
      </c>
      <c r="E115" s="19">
        <f>139.9-1.4+125.2-5.4+34</f>
        <v>292.3</v>
      </c>
      <c r="F115" s="19">
        <f>29.4-1.4-5.7+0.3</f>
        <v>22.6</v>
      </c>
      <c r="G115" s="61"/>
      <c r="H115" s="61"/>
      <c r="I115" s="61"/>
      <c r="J115" s="61"/>
      <c r="K115" s="61"/>
      <c r="O115" s="61"/>
    </row>
    <row r="116" spans="1:15" ht="39.75" customHeight="1" x14ac:dyDescent="0.25">
      <c r="A116" s="12">
        <v>48</v>
      </c>
      <c r="B116" s="1"/>
      <c r="C116" s="15" t="s">
        <v>9</v>
      </c>
      <c r="D116" s="14" t="s">
        <v>115</v>
      </c>
      <c r="E116" s="19">
        <f>132.7-0.9+10+172.4+0.2-14</f>
        <v>300.39999999999998</v>
      </c>
      <c r="F116" s="19">
        <f>15.4-0.9+0.3+0.2</f>
        <v>15</v>
      </c>
      <c r="G116" s="61"/>
      <c r="H116" s="61"/>
      <c r="I116" s="61"/>
      <c r="J116" s="61"/>
      <c r="K116" s="61"/>
      <c r="O116" s="61"/>
    </row>
    <row r="117" spans="1:15" ht="39.75" customHeight="1" x14ac:dyDescent="0.25">
      <c r="A117" s="12">
        <v>49</v>
      </c>
      <c r="B117" s="1"/>
      <c r="C117" s="16" t="s">
        <v>10</v>
      </c>
      <c r="D117" s="14" t="s">
        <v>115</v>
      </c>
      <c r="E117" s="19">
        <f>98.5+0.3-0.9+132.3-49</f>
        <v>181.2</v>
      </c>
      <c r="F117" s="19">
        <f>16.1-0.9</f>
        <v>15.200000000000001</v>
      </c>
      <c r="G117" s="61"/>
      <c r="H117" s="61"/>
      <c r="I117" s="61"/>
      <c r="J117" s="61"/>
      <c r="K117" s="61"/>
      <c r="O117" s="61"/>
    </row>
    <row r="118" spans="1:15" ht="39.6" customHeight="1" x14ac:dyDescent="0.25">
      <c r="A118" s="12">
        <v>50</v>
      </c>
      <c r="B118" s="1"/>
      <c r="C118" s="15" t="s">
        <v>12</v>
      </c>
      <c r="D118" s="14" t="s">
        <v>115</v>
      </c>
      <c r="E118" s="19">
        <f>129.9-0.9+86.6-1.3+3</f>
        <v>217.29999999999998</v>
      </c>
      <c r="F118" s="19">
        <f>15.6-0.9-1.3</f>
        <v>13.399999999999999</v>
      </c>
      <c r="G118" s="61"/>
      <c r="H118" s="61"/>
      <c r="I118" s="61"/>
      <c r="J118" s="61"/>
      <c r="K118" s="61"/>
      <c r="O118" s="61"/>
    </row>
    <row r="119" spans="1:15" ht="39.6" x14ac:dyDescent="0.25">
      <c r="A119" s="12">
        <v>51</v>
      </c>
      <c r="B119" s="1"/>
      <c r="C119" s="15" t="s">
        <v>11</v>
      </c>
      <c r="D119" s="14" t="s">
        <v>115</v>
      </c>
      <c r="E119" s="19">
        <f>123.6-0.9-10+134.2-3.8-28</f>
        <v>215.09999999999997</v>
      </c>
      <c r="F119" s="19">
        <f>20.6-0.9-3.8</f>
        <v>15.900000000000002</v>
      </c>
      <c r="G119" s="61"/>
      <c r="H119" s="61"/>
      <c r="I119" s="61"/>
      <c r="J119" s="61"/>
      <c r="K119" s="61"/>
      <c r="O119" s="61"/>
    </row>
    <row r="120" spans="1:15" ht="39.75" customHeight="1" x14ac:dyDescent="0.25">
      <c r="A120" s="12">
        <v>52</v>
      </c>
      <c r="B120" s="1"/>
      <c r="C120" s="15" t="s">
        <v>13</v>
      </c>
      <c r="D120" s="14" t="s">
        <v>115</v>
      </c>
      <c r="E120" s="19">
        <f>78.8-0.9+35.1-3.1+2.3</f>
        <v>112.2</v>
      </c>
      <c r="F120" s="19">
        <f>14.8-0.9-2.4</f>
        <v>11.5</v>
      </c>
      <c r="G120" s="61"/>
      <c r="H120" s="61"/>
      <c r="I120" s="61"/>
      <c r="J120" s="61"/>
      <c r="K120" s="61"/>
      <c r="O120" s="61"/>
    </row>
    <row r="121" spans="1:15" ht="39.75" customHeight="1" x14ac:dyDescent="0.25">
      <c r="A121" s="12">
        <v>53</v>
      </c>
      <c r="B121" s="1"/>
      <c r="C121" s="15" t="s">
        <v>14</v>
      </c>
      <c r="D121" s="14" t="s">
        <v>115</v>
      </c>
      <c r="E121" s="19">
        <f>78.6-1.4+15+66.2+1.1+24</f>
        <v>183.49999999999997</v>
      </c>
      <c r="F121" s="19">
        <f>23.6-1.4+1.1</f>
        <v>23.300000000000004</v>
      </c>
      <c r="G121" s="61"/>
      <c r="H121" s="61"/>
      <c r="I121" s="61"/>
      <c r="J121" s="61"/>
      <c r="K121" s="61"/>
      <c r="O121" s="61"/>
    </row>
    <row r="122" spans="1:15" ht="20.100000000000001" customHeight="1" x14ac:dyDescent="0.25">
      <c r="A122" s="12">
        <v>54</v>
      </c>
      <c r="B122" s="11" t="s">
        <v>77</v>
      </c>
      <c r="C122" s="17" t="s">
        <v>222</v>
      </c>
      <c r="D122" s="1"/>
      <c r="E122" s="42">
        <f>+E124+E139+E140+E141+E142+E143+E144+E145+E146+E147+E123</f>
        <v>1736.1</v>
      </c>
      <c r="F122" s="42">
        <f>+F124+F139+F140+F141+F142+F143+F144+F145+F146+F147+F123</f>
        <v>625.9</v>
      </c>
      <c r="G122" s="61"/>
      <c r="H122" s="61"/>
      <c r="I122" s="61"/>
      <c r="J122" s="61"/>
      <c r="L122" s="36"/>
      <c r="O122" s="61"/>
    </row>
    <row r="123" spans="1:15" ht="12.6" customHeight="1" x14ac:dyDescent="0.25">
      <c r="A123" s="12">
        <v>55</v>
      </c>
      <c r="B123" s="1"/>
      <c r="C123" s="24" t="s">
        <v>113</v>
      </c>
      <c r="D123" s="1" t="s">
        <v>78</v>
      </c>
      <c r="E123" s="19">
        <f>942+23+8</f>
        <v>973</v>
      </c>
      <c r="F123" s="19">
        <v>553.1</v>
      </c>
      <c r="G123" s="61"/>
      <c r="H123" s="61"/>
      <c r="I123" s="61"/>
      <c r="J123" s="61"/>
      <c r="O123" s="61"/>
    </row>
    <row r="124" spans="1:15" ht="12.6" customHeight="1" x14ac:dyDescent="0.25">
      <c r="A124" s="12">
        <v>56</v>
      </c>
      <c r="B124" s="11"/>
      <c r="C124" s="16" t="s">
        <v>184</v>
      </c>
      <c r="D124" s="1"/>
      <c r="E124" s="19">
        <f>+E125+E126+E132+E135+E133+E134</f>
        <v>736</v>
      </c>
      <c r="F124" s="19">
        <f>+F125+F126+F132+F135+F133+F134</f>
        <v>46.4</v>
      </c>
      <c r="G124" s="61"/>
      <c r="H124" s="61"/>
      <c r="I124" s="61"/>
      <c r="J124" s="61"/>
      <c r="O124" s="61"/>
    </row>
    <row r="125" spans="1:15" ht="12.6" customHeight="1" x14ac:dyDescent="0.25">
      <c r="A125" s="59" t="s">
        <v>180</v>
      </c>
      <c r="B125" s="1"/>
      <c r="C125" s="16" t="s">
        <v>3</v>
      </c>
      <c r="D125" s="1" t="s">
        <v>133</v>
      </c>
      <c r="E125" s="19">
        <f>108-7.3</f>
        <v>100.7</v>
      </c>
      <c r="F125" s="19">
        <f>48.4-2</f>
        <v>46.4</v>
      </c>
      <c r="G125" s="61"/>
      <c r="H125" s="61"/>
      <c r="I125" s="61"/>
      <c r="J125" s="61"/>
      <c r="O125" s="61"/>
    </row>
    <row r="126" spans="1:15" ht="12.6" customHeight="1" x14ac:dyDescent="0.25">
      <c r="A126" s="190" t="s">
        <v>181</v>
      </c>
      <c r="B126" s="179"/>
      <c r="C126" s="86" t="s">
        <v>212</v>
      </c>
      <c r="D126" s="188" t="s">
        <v>78</v>
      </c>
      <c r="E126" s="19">
        <f>+E127+E128+E129+E130+E131</f>
        <v>475</v>
      </c>
      <c r="F126" s="19">
        <f>+F127+F128+F129+F130+F131</f>
        <v>0</v>
      </c>
      <c r="G126" s="61"/>
      <c r="H126" s="61"/>
      <c r="I126" s="61"/>
      <c r="J126" s="61"/>
      <c r="O126" s="61"/>
    </row>
    <row r="127" spans="1:15" ht="26.4" x14ac:dyDescent="0.25">
      <c r="A127" s="191"/>
      <c r="B127" s="193"/>
      <c r="C127" s="58" t="s">
        <v>478</v>
      </c>
      <c r="D127" s="188"/>
      <c r="E127" s="19">
        <f>200-20+20+20</f>
        <v>220</v>
      </c>
      <c r="F127" s="19"/>
      <c r="G127" s="61"/>
      <c r="H127" s="61"/>
      <c r="I127" s="61"/>
      <c r="J127" s="61"/>
      <c r="O127" s="61"/>
    </row>
    <row r="128" spans="1:15" ht="12.6" customHeight="1" x14ac:dyDescent="0.25">
      <c r="A128" s="191"/>
      <c r="B128" s="193"/>
      <c r="C128" s="58" t="s">
        <v>479</v>
      </c>
      <c r="D128" s="188"/>
      <c r="E128" s="19">
        <f>100+20</f>
        <v>120</v>
      </c>
      <c r="F128" s="19"/>
      <c r="G128" s="61"/>
      <c r="H128" s="61"/>
      <c r="I128" s="61"/>
      <c r="J128" s="61"/>
      <c r="O128" s="61"/>
    </row>
    <row r="129" spans="1:15" ht="12.6" customHeight="1" x14ac:dyDescent="0.25">
      <c r="A129" s="191"/>
      <c r="B129" s="193"/>
      <c r="C129" s="58" t="s">
        <v>228</v>
      </c>
      <c r="D129" s="188"/>
      <c r="E129" s="19">
        <v>15</v>
      </c>
      <c r="F129" s="19"/>
      <c r="G129" s="61"/>
      <c r="H129" s="61"/>
      <c r="I129" s="61"/>
      <c r="J129" s="61"/>
      <c r="O129" s="61"/>
    </row>
    <row r="130" spans="1:15" ht="26.4" x14ac:dyDescent="0.25">
      <c r="A130" s="191"/>
      <c r="B130" s="193"/>
      <c r="C130" s="58" t="s">
        <v>480</v>
      </c>
      <c r="D130" s="188"/>
      <c r="E130" s="19">
        <v>100</v>
      </c>
      <c r="F130" s="19"/>
      <c r="G130" s="61"/>
      <c r="H130" s="61"/>
      <c r="I130" s="61"/>
      <c r="J130" s="61"/>
      <c r="O130" s="61"/>
    </row>
    <row r="131" spans="1:15" x14ac:dyDescent="0.25">
      <c r="A131" s="192"/>
      <c r="B131" s="180"/>
      <c r="C131" s="58" t="s">
        <v>674</v>
      </c>
      <c r="D131" s="1"/>
      <c r="E131" s="19">
        <v>20</v>
      </c>
      <c r="F131" s="19"/>
      <c r="G131" s="61"/>
      <c r="H131" s="61"/>
      <c r="I131" s="61"/>
      <c r="J131" s="61"/>
      <c r="O131" s="61"/>
    </row>
    <row r="132" spans="1:15" ht="12.6" customHeight="1" x14ac:dyDescent="0.25">
      <c r="A132" s="59" t="s">
        <v>182</v>
      </c>
      <c r="B132" s="1"/>
      <c r="C132" s="86" t="s">
        <v>213</v>
      </c>
      <c r="D132" s="1" t="s">
        <v>78</v>
      </c>
      <c r="E132" s="19">
        <v>55</v>
      </c>
      <c r="F132" s="19"/>
      <c r="G132" s="61"/>
      <c r="H132" s="61"/>
      <c r="I132" s="61"/>
      <c r="J132" s="61"/>
      <c r="O132" s="61"/>
    </row>
    <row r="133" spans="1:15" ht="26.4" x14ac:dyDescent="0.25">
      <c r="A133" s="59" t="s">
        <v>357</v>
      </c>
      <c r="B133" s="1"/>
      <c r="C133" s="86" t="s">
        <v>300</v>
      </c>
      <c r="D133" s="1" t="s">
        <v>78</v>
      </c>
      <c r="E133" s="19">
        <v>10.3</v>
      </c>
      <c r="F133" s="19"/>
      <c r="G133" s="61"/>
      <c r="H133" s="61"/>
      <c r="I133" s="61"/>
      <c r="J133" s="61"/>
      <c r="O133" s="61"/>
    </row>
    <row r="134" spans="1:15" ht="26.4" x14ac:dyDescent="0.25">
      <c r="A134" s="59" t="s">
        <v>183</v>
      </c>
      <c r="B134" s="1"/>
      <c r="C134" s="86" t="s">
        <v>620</v>
      </c>
      <c r="D134" s="1" t="s">
        <v>621</v>
      </c>
      <c r="E134" s="19">
        <v>10</v>
      </c>
      <c r="F134" s="19"/>
      <c r="G134" s="61"/>
      <c r="H134" s="61"/>
      <c r="I134" s="61"/>
      <c r="J134" s="61"/>
      <c r="O134" s="61"/>
    </row>
    <row r="135" spans="1:15" ht="42" customHeight="1" x14ac:dyDescent="0.25">
      <c r="A135" s="59" t="s">
        <v>623</v>
      </c>
      <c r="B135" s="1"/>
      <c r="C135" s="64" t="s">
        <v>460</v>
      </c>
      <c r="D135" s="11"/>
      <c r="E135" s="65">
        <f>+E136+E137+E138</f>
        <v>85</v>
      </c>
      <c r="F135" s="65">
        <f>+F136+F137+F138</f>
        <v>0</v>
      </c>
      <c r="G135" s="61"/>
      <c r="H135" s="61"/>
      <c r="I135" s="61"/>
      <c r="J135" s="61"/>
      <c r="O135" s="61"/>
    </row>
    <row r="136" spans="1:15" ht="12.6" customHeight="1" x14ac:dyDescent="0.25">
      <c r="A136" s="59" t="s">
        <v>624</v>
      </c>
      <c r="B136" s="1"/>
      <c r="C136" s="15" t="s">
        <v>481</v>
      </c>
      <c r="D136" s="1" t="s">
        <v>62</v>
      </c>
      <c r="E136" s="19">
        <v>15</v>
      </c>
      <c r="F136" s="19"/>
      <c r="G136" s="61"/>
      <c r="H136" s="61"/>
      <c r="I136" s="61"/>
      <c r="J136" s="61"/>
      <c r="O136" s="61"/>
    </row>
    <row r="137" spans="1:15" ht="26.4" x14ac:dyDescent="0.25">
      <c r="A137" s="59" t="s">
        <v>625</v>
      </c>
      <c r="B137" s="1"/>
      <c r="C137" s="15" t="s">
        <v>482</v>
      </c>
      <c r="D137" s="31" t="s">
        <v>78</v>
      </c>
      <c r="E137" s="19">
        <f>15+15-10</f>
        <v>20</v>
      </c>
      <c r="F137" s="19"/>
      <c r="G137" s="61"/>
      <c r="H137" s="61"/>
      <c r="I137" s="61"/>
      <c r="J137" s="61"/>
      <c r="O137" s="61"/>
    </row>
    <row r="138" spans="1:15" ht="39.6" x14ac:dyDescent="0.25">
      <c r="A138" s="59" t="s">
        <v>626</v>
      </c>
      <c r="B138" s="1"/>
      <c r="C138" s="15" t="s">
        <v>305</v>
      </c>
      <c r="D138" s="1" t="s">
        <v>78</v>
      </c>
      <c r="E138" s="19">
        <f>30+20</f>
        <v>50</v>
      </c>
      <c r="F138" s="19"/>
      <c r="G138" s="61"/>
      <c r="H138" s="61"/>
      <c r="I138" s="61"/>
      <c r="J138" s="61"/>
      <c r="O138" s="61"/>
    </row>
    <row r="139" spans="1:15" ht="12.6" customHeight="1" x14ac:dyDescent="0.25">
      <c r="A139" s="12">
        <v>57</v>
      </c>
      <c r="B139" s="1"/>
      <c r="C139" s="15" t="s">
        <v>5</v>
      </c>
      <c r="D139" s="1" t="s">
        <v>78</v>
      </c>
      <c r="E139" s="19">
        <v>3.1</v>
      </c>
      <c r="F139" s="19">
        <v>3</v>
      </c>
      <c r="G139" s="61"/>
      <c r="H139" s="61"/>
      <c r="I139" s="61"/>
      <c r="J139" s="61"/>
      <c r="O139" s="61"/>
    </row>
    <row r="140" spans="1:15" ht="12.6" customHeight="1" x14ac:dyDescent="0.25">
      <c r="A140" s="12">
        <v>58</v>
      </c>
      <c r="B140" s="1"/>
      <c r="C140" s="16" t="s">
        <v>7</v>
      </c>
      <c r="D140" s="1" t="s">
        <v>78</v>
      </c>
      <c r="E140" s="19">
        <f>3.1+0.1</f>
        <v>3.2</v>
      </c>
      <c r="F140" s="19">
        <f>3+0.1</f>
        <v>3.1</v>
      </c>
      <c r="G140" s="61"/>
      <c r="H140" s="61"/>
      <c r="I140" s="61"/>
      <c r="J140" s="61"/>
      <c r="O140" s="61"/>
    </row>
    <row r="141" spans="1:15" ht="12.6" customHeight="1" x14ac:dyDescent="0.25">
      <c r="A141" s="12">
        <v>59</v>
      </c>
      <c r="B141" s="1"/>
      <c r="C141" s="15" t="s">
        <v>6</v>
      </c>
      <c r="D141" s="1" t="s">
        <v>78</v>
      </c>
      <c r="E141" s="19">
        <f>3.1-0.1</f>
        <v>3</v>
      </c>
      <c r="F141" s="19">
        <f>3-0.1</f>
        <v>2.9</v>
      </c>
      <c r="G141" s="61"/>
      <c r="H141" s="61"/>
      <c r="I141" s="61"/>
      <c r="J141" s="61"/>
      <c r="O141" s="61"/>
    </row>
    <row r="142" spans="1:15" ht="12.6" customHeight="1" x14ac:dyDescent="0.25">
      <c r="A142" s="12">
        <v>60</v>
      </c>
      <c r="B142" s="1"/>
      <c r="C142" s="15" t="s">
        <v>9</v>
      </c>
      <c r="D142" s="1" t="s">
        <v>78</v>
      </c>
      <c r="E142" s="19">
        <f>3.4-0.1</f>
        <v>3.3</v>
      </c>
      <c r="F142" s="19">
        <f>3.3-0.1</f>
        <v>3.1999999999999997</v>
      </c>
      <c r="G142" s="61"/>
      <c r="H142" s="61"/>
      <c r="I142" s="61"/>
      <c r="J142" s="61"/>
      <c r="O142" s="61"/>
    </row>
    <row r="143" spans="1:15" ht="12.6" customHeight="1" x14ac:dyDescent="0.25">
      <c r="A143" s="12">
        <v>61</v>
      </c>
      <c r="B143" s="1"/>
      <c r="C143" s="16" t="s">
        <v>10</v>
      </c>
      <c r="D143" s="1" t="s">
        <v>78</v>
      </c>
      <c r="E143" s="19">
        <v>3</v>
      </c>
      <c r="F143" s="19">
        <v>2.9</v>
      </c>
      <c r="G143" s="61"/>
      <c r="H143" s="61"/>
      <c r="I143" s="61"/>
      <c r="J143" s="61"/>
      <c r="O143" s="61"/>
    </row>
    <row r="144" spans="1:15" ht="12.6" customHeight="1" x14ac:dyDescent="0.25">
      <c r="A144" s="12">
        <v>62</v>
      </c>
      <c r="B144" s="1"/>
      <c r="C144" s="15" t="s">
        <v>12</v>
      </c>
      <c r="D144" s="1" t="s">
        <v>78</v>
      </c>
      <c r="E144" s="19">
        <f>3.2-0.2</f>
        <v>3</v>
      </c>
      <c r="F144" s="19">
        <f>3.1-0.2</f>
        <v>2.9</v>
      </c>
      <c r="G144" s="61"/>
      <c r="H144" s="61"/>
      <c r="I144" s="61"/>
      <c r="J144" s="61"/>
      <c r="O144" s="61"/>
    </row>
    <row r="145" spans="1:15" ht="12.6" customHeight="1" x14ac:dyDescent="0.25">
      <c r="A145" s="12">
        <v>63</v>
      </c>
      <c r="B145" s="1"/>
      <c r="C145" s="15" t="s">
        <v>11</v>
      </c>
      <c r="D145" s="1" t="s">
        <v>78</v>
      </c>
      <c r="E145" s="19">
        <v>3</v>
      </c>
      <c r="F145" s="19">
        <v>3</v>
      </c>
      <c r="G145" s="61"/>
      <c r="H145" s="61"/>
      <c r="I145" s="61"/>
      <c r="J145" s="61"/>
      <c r="O145" s="61"/>
    </row>
    <row r="146" spans="1:15" ht="12.6" customHeight="1" x14ac:dyDescent="0.25">
      <c r="A146" s="12">
        <v>64</v>
      </c>
      <c r="B146" s="1"/>
      <c r="C146" s="15" t="s">
        <v>13</v>
      </c>
      <c r="D146" s="1" t="s">
        <v>78</v>
      </c>
      <c r="E146" s="19">
        <f>3-0.1</f>
        <v>2.9</v>
      </c>
      <c r="F146" s="19">
        <f>2.9-0.1</f>
        <v>2.8</v>
      </c>
      <c r="G146" s="61"/>
      <c r="H146" s="61"/>
      <c r="I146" s="61"/>
      <c r="J146" s="61"/>
      <c r="O146" s="61"/>
    </row>
    <row r="147" spans="1:15" ht="12.6" customHeight="1" x14ac:dyDescent="0.25">
      <c r="A147" s="12">
        <v>65</v>
      </c>
      <c r="B147" s="1"/>
      <c r="C147" s="15" t="s">
        <v>14</v>
      </c>
      <c r="D147" s="1" t="s">
        <v>78</v>
      </c>
      <c r="E147" s="19">
        <v>2.6</v>
      </c>
      <c r="F147" s="19">
        <v>2.6</v>
      </c>
      <c r="G147" s="61"/>
      <c r="H147" s="61"/>
      <c r="I147" s="61"/>
      <c r="J147" s="61"/>
      <c r="O147" s="61"/>
    </row>
    <row r="148" spans="1:15" ht="24.75" customHeight="1" x14ac:dyDescent="0.25">
      <c r="A148" s="12">
        <v>66</v>
      </c>
      <c r="B148" s="11" t="s">
        <v>79</v>
      </c>
      <c r="C148" s="17" t="s">
        <v>80</v>
      </c>
      <c r="D148" s="9"/>
      <c r="E148" s="42">
        <f>+E149+E150+E151+E152+E153+E154+E155+E156+E159+E171</f>
        <v>4440.6000000000004</v>
      </c>
      <c r="F148" s="42">
        <f>+F149+F150+F151+F152+F153+F154+F155+F156+F159+F171</f>
        <v>2638.8</v>
      </c>
      <c r="G148" s="61"/>
      <c r="H148" s="61"/>
      <c r="I148" s="61"/>
      <c r="J148" s="61"/>
      <c r="L148" s="36"/>
      <c r="N148" s="36"/>
      <c r="O148" s="61"/>
    </row>
    <row r="149" spans="1:15" ht="12.6" customHeight="1" x14ac:dyDescent="0.25">
      <c r="A149" s="12">
        <v>67</v>
      </c>
      <c r="B149" s="1"/>
      <c r="C149" s="24" t="s">
        <v>44</v>
      </c>
      <c r="D149" s="1" t="s">
        <v>81</v>
      </c>
      <c r="E149" s="19">
        <f>810.3+1.4-5+3.3+13.1+2.8</f>
        <v>825.89999999999986</v>
      </c>
      <c r="F149" s="19">
        <f>578.9+16.4</f>
        <v>595.29999999999995</v>
      </c>
      <c r="G149" s="61"/>
      <c r="H149" s="61"/>
      <c r="I149" s="61"/>
      <c r="J149" s="61"/>
      <c r="K149" s="50"/>
      <c r="L149" s="36"/>
      <c r="O149" s="61"/>
    </row>
    <row r="150" spans="1:15" ht="12.6" customHeight="1" x14ac:dyDescent="0.25">
      <c r="A150" s="12">
        <v>68</v>
      </c>
      <c r="B150" s="1"/>
      <c r="C150" s="48" t="s">
        <v>49</v>
      </c>
      <c r="D150" s="1" t="s">
        <v>81</v>
      </c>
      <c r="E150" s="19">
        <f>247.1+1.9+3.4+8.1</f>
        <v>260.5</v>
      </c>
      <c r="F150" s="19">
        <f>195+7.3</f>
        <v>202.3</v>
      </c>
      <c r="G150" s="61"/>
      <c r="H150" s="61"/>
      <c r="I150" s="61"/>
      <c r="J150" s="61"/>
      <c r="K150" s="50"/>
      <c r="L150" s="36"/>
      <c r="O150" s="61"/>
    </row>
    <row r="151" spans="1:15" ht="12.6" customHeight="1" x14ac:dyDescent="0.25">
      <c r="A151" s="12">
        <v>69</v>
      </c>
      <c r="B151" s="1"/>
      <c r="C151" s="48" t="s">
        <v>50</v>
      </c>
      <c r="D151" s="1" t="s">
        <v>81</v>
      </c>
      <c r="E151" s="19">
        <f>177.9+1.1+2.8+1.8</f>
        <v>183.60000000000002</v>
      </c>
      <c r="F151" s="19">
        <f>134.5+2.8</f>
        <v>137.30000000000001</v>
      </c>
      <c r="G151" s="61"/>
      <c r="H151" s="61"/>
      <c r="I151" s="61"/>
      <c r="J151" s="61"/>
      <c r="K151" s="50"/>
      <c r="L151" s="36"/>
      <c r="O151" s="61"/>
    </row>
    <row r="152" spans="1:15" ht="12.6" customHeight="1" x14ac:dyDescent="0.25">
      <c r="A152" s="12">
        <v>70</v>
      </c>
      <c r="B152" s="1"/>
      <c r="C152" s="48" t="s">
        <v>45</v>
      </c>
      <c r="D152" s="1" t="s">
        <v>81</v>
      </c>
      <c r="E152" s="19">
        <f>168.3+0.7+2.7</f>
        <v>171.7</v>
      </c>
      <c r="F152" s="19">
        <f>127.9+3</f>
        <v>130.9</v>
      </c>
      <c r="G152" s="61"/>
      <c r="H152" s="61"/>
      <c r="I152" s="61"/>
      <c r="J152" s="61"/>
      <c r="K152" s="50"/>
      <c r="L152" s="36"/>
      <c r="O152" s="61"/>
    </row>
    <row r="153" spans="1:15" ht="12.6" customHeight="1" x14ac:dyDescent="0.25">
      <c r="A153" s="12">
        <v>71</v>
      </c>
      <c r="B153" s="1"/>
      <c r="C153" s="48" t="s">
        <v>51</v>
      </c>
      <c r="D153" s="1" t="s">
        <v>81</v>
      </c>
      <c r="E153" s="19">
        <f>115.5+0.9+1.2</f>
        <v>117.60000000000001</v>
      </c>
      <c r="F153" s="19">
        <f>95.8-5.4</f>
        <v>90.399999999999991</v>
      </c>
      <c r="G153" s="61"/>
      <c r="H153" s="61"/>
      <c r="I153" s="61"/>
      <c r="J153" s="61"/>
      <c r="K153" s="50"/>
      <c r="L153" s="36"/>
      <c r="O153" s="61"/>
    </row>
    <row r="154" spans="1:15" ht="12.6" customHeight="1" x14ac:dyDescent="0.25">
      <c r="A154" s="12">
        <v>72</v>
      </c>
      <c r="B154" s="1"/>
      <c r="C154" s="48" t="s">
        <v>52</v>
      </c>
      <c r="D154" s="1" t="s">
        <v>81</v>
      </c>
      <c r="E154" s="19">
        <f>105+3.3+1.4+1</f>
        <v>110.7</v>
      </c>
      <c r="F154" s="19">
        <v>83.1</v>
      </c>
      <c r="G154" s="61"/>
      <c r="H154" s="61"/>
      <c r="I154" s="61"/>
      <c r="J154" s="61"/>
      <c r="K154" s="50"/>
      <c r="L154" s="36"/>
      <c r="O154" s="61"/>
    </row>
    <row r="155" spans="1:15" ht="12.6" customHeight="1" x14ac:dyDescent="0.25">
      <c r="A155" s="12">
        <v>73</v>
      </c>
      <c r="B155" s="1"/>
      <c r="C155" s="15" t="s">
        <v>53</v>
      </c>
      <c r="D155" s="1" t="s">
        <v>82</v>
      </c>
      <c r="E155" s="19">
        <f>1057.4+5.1+9.6</f>
        <v>1072.0999999999999</v>
      </c>
      <c r="F155" s="19">
        <f>902.8-11.3</f>
        <v>891.5</v>
      </c>
      <c r="G155" s="61"/>
      <c r="H155" s="61"/>
      <c r="I155" s="61"/>
      <c r="J155" s="61"/>
      <c r="K155" s="50"/>
      <c r="L155" s="36"/>
      <c r="O155" s="61"/>
    </row>
    <row r="156" spans="1:15" ht="12.6" customHeight="1" x14ac:dyDescent="0.25">
      <c r="A156" s="177">
        <v>74</v>
      </c>
      <c r="B156" s="179"/>
      <c r="C156" s="48" t="s">
        <v>43</v>
      </c>
      <c r="D156" s="188" t="s">
        <v>83</v>
      </c>
      <c r="E156" s="19">
        <f>511.4+2.4+E158+E157+1.5+5.8+2.3</f>
        <v>528.59999999999991</v>
      </c>
      <c r="F156" s="19">
        <v>420.5</v>
      </c>
      <c r="G156" s="61"/>
      <c r="H156" s="61"/>
      <c r="I156" s="61"/>
      <c r="J156" s="61"/>
      <c r="K156" s="50"/>
      <c r="L156" s="36"/>
      <c r="O156" s="61"/>
    </row>
    <row r="157" spans="1:15" ht="12.6" customHeight="1" x14ac:dyDescent="0.25">
      <c r="A157" s="194"/>
      <c r="B157" s="193"/>
      <c r="C157" s="83" t="s">
        <v>301</v>
      </c>
      <c r="D157" s="188"/>
      <c r="E157" s="19">
        <f>42.4-42.4</f>
        <v>0</v>
      </c>
      <c r="F157" s="19"/>
      <c r="G157" s="61"/>
      <c r="H157" s="61"/>
      <c r="I157" s="61"/>
      <c r="J157" s="61"/>
      <c r="K157" s="50"/>
      <c r="L157" s="36"/>
      <c r="O157" s="61"/>
    </row>
    <row r="158" spans="1:15" ht="12.6" customHeight="1" x14ac:dyDescent="0.25">
      <c r="A158" s="178"/>
      <c r="B158" s="180"/>
      <c r="C158" s="83" t="s">
        <v>458</v>
      </c>
      <c r="D158" s="1" t="s">
        <v>127</v>
      </c>
      <c r="E158" s="19">
        <v>5.2</v>
      </c>
      <c r="F158" s="19"/>
      <c r="G158" s="61"/>
      <c r="H158" s="61"/>
      <c r="I158" s="61"/>
      <c r="J158" s="61"/>
      <c r="K158" s="50"/>
      <c r="L158" s="36"/>
      <c r="O158" s="61"/>
    </row>
    <row r="159" spans="1:15" ht="12.6" customHeight="1" x14ac:dyDescent="0.25">
      <c r="A159" s="12">
        <v>75</v>
      </c>
      <c r="B159" s="1"/>
      <c r="C159" s="16" t="s">
        <v>184</v>
      </c>
      <c r="D159" s="1"/>
      <c r="E159" s="19">
        <f>+E160+E161+E162+E163+E166+E164+E165</f>
        <v>1161.4000000000001</v>
      </c>
      <c r="F159" s="19">
        <f>+F160+F161+F162+F163+F166+F164+F165</f>
        <v>80.8</v>
      </c>
      <c r="G159" s="61"/>
      <c r="H159" s="61"/>
      <c r="I159" s="61"/>
      <c r="J159" s="61"/>
      <c r="K159" s="50"/>
      <c r="L159" s="36"/>
      <c r="O159" s="61"/>
    </row>
    <row r="160" spans="1:15" ht="26.4" x14ac:dyDescent="0.25">
      <c r="A160" s="59" t="s">
        <v>724</v>
      </c>
      <c r="B160" s="1"/>
      <c r="C160" s="16" t="s">
        <v>3</v>
      </c>
      <c r="D160" s="14" t="s">
        <v>145</v>
      </c>
      <c r="E160" s="19">
        <f>396.3+18.3+4.2</f>
        <v>418.8</v>
      </c>
      <c r="F160" s="19">
        <f>56.8+18+6</f>
        <v>80.8</v>
      </c>
      <c r="G160" s="61"/>
      <c r="H160" s="61"/>
      <c r="I160" s="61"/>
      <c r="J160" s="61"/>
      <c r="K160" s="50"/>
      <c r="L160" s="36"/>
      <c r="O160" s="61"/>
    </row>
    <row r="161" spans="1:22" ht="52.8" x14ac:dyDescent="0.25">
      <c r="A161" s="59" t="s">
        <v>725</v>
      </c>
      <c r="B161" s="1"/>
      <c r="C161" s="66" t="s">
        <v>214</v>
      </c>
      <c r="D161" s="14" t="s">
        <v>84</v>
      </c>
      <c r="E161" s="19">
        <v>22</v>
      </c>
      <c r="F161" s="19"/>
      <c r="G161" s="61"/>
      <c r="H161" s="61"/>
      <c r="I161" s="61"/>
      <c r="J161" s="61"/>
      <c r="K161" s="50"/>
      <c r="L161" s="36"/>
      <c r="O161" s="61"/>
    </row>
    <row r="162" spans="1:22" x14ac:dyDescent="0.25">
      <c r="A162" s="59" t="s">
        <v>726</v>
      </c>
      <c r="B162" s="1"/>
      <c r="C162" s="66" t="s">
        <v>483</v>
      </c>
      <c r="D162" s="14" t="s">
        <v>84</v>
      </c>
      <c r="E162" s="19">
        <f>13+3+8.5</f>
        <v>24.5</v>
      </c>
      <c r="F162" s="19"/>
      <c r="G162" s="61"/>
      <c r="H162" s="61"/>
      <c r="I162" s="61"/>
      <c r="J162" s="61"/>
      <c r="K162" s="50"/>
      <c r="L162" s="36"/>
      <c r="O162" s="61"/>
    </row>
    <row r="163" spans="1:22" ht="26.4" x14ac:dyDescent="0.25">
      <c r="A163" s="59" t="s">
        <v>727</v>
      </c>
      <c r="B163" s="1"/>
      <c r="C163" s="66" t="s">
        <v>484</v>
      </c>
      <c r="D163" s="14" t="s">
        <v>84</v>
      </c>
      <c r="E163" s="19">
        <f>3+9</f>
        <v>12</v>
      </c>
      <c r="F163" s="19"/>
      <c r="G163" s="61"/>
      <c r="H163" s="61"/>
      <c r="I163" s="61"/>
      <c r="J163" s="61"/>
      <c r="K163" s="50"/>
      <c r="L163" s="36"/>
      <c r="O163" s="61"/>
    </row>
    <row r="164" spans="1:22" ht="26.4" x14ac:dyDescent="0.25">
      <c r="A164" s="59" t="s">
        <v>728</v>
      </c>
      <c r="B164" s="1"/>
      <c r="C164" s="28" t="s">
        <v>306</v>
      </c>
      <c r="D164" s="14" t="s">
        <v>166</v>
      </c>
      <c r="E164" s="19">
        <f>58-12-15.6</f>
        <v>30.4</v>
      </c>
      <c r="F164" s="19"/>
      <c r="G164" s="61"/>
      <c r="H164" s="61"/>
      <c r="I164" s="61"/>
      <c r="J164" s="61"/>
      <c r="K164" s="50"/>
      <c r="L164" s="36"/>
      <c r="O164" s="61"/>
    </row>
    <row r="165" spans="1:22" ht="26.4" x14ac:dyDescent="0.25">
      <c r="A165" s="59" t="s">
        <v>729</v>
      </c>
      <c r="B165" s="1"/>
      <c r="C165" s="28" t="s">
        <v>204</v>
      </c>
      <c r="D165" s="14" t="s">
        <v>166</v>
      </c>
      <c r="E165" s="19">
        <v>19.899999999999999</v>
      </c>
      <c r="F165" s="19"/>
      <c r="G165" s="61"/>
      <c r="H165" s="61"/>
      <c r="I165" s="61"/>
      <c r="J165" s="61"/>
      <c r="K165" s="50"/>
      <c r="L165" s="36"/>
      <c r="O165" s="61"/>
    </row>
    <row r="166" spans="1:22" ht="39" customHeight="1" x14ac:dyDescent="0.25">
      <c r="A166" s="59" t="s">
        <v>730</v>
      </c>
      <c r="B166" s="1"/>
      <c r="C166" s="64" t="s">
        <v>460</v>
      </c>
      <c r="D166" s="9"/>
      <c r="E166" s="65">
        <f>SUM(E167:E170)</f>
        <v>633.79999999999995</v>
      </c>
      <c r="F166" s="65">
        <f>SUM(F167:F170)</f>
        <v>0</v>
      </c>
      <c r="G166" s="61"/>
      <c r="H166" s="61"/>
      <c r="I166" s="61"/>
      <c r="J166" s="61"/>
      <c r="K166" s="56"/>
      <c r="L166" s="36"/>
      <c r="O166" s="61"/>
    </row>
    <row r="167" spans="1:22" ht="39.6" x14ac:dyDescent="0.25">
      <c r="A167" s="59" t="s">
        <v>731</v>
      </c>
      <c r="B167" s="1"/>
      <c r="C167" s="28" t="s">
        <v>191</v>
      </c>
      <c r="D167" s="1" t="s">
        <v>83</v>
      </c>
      <c r="E167" s="19">
        <f>150+50</f>
        <v>200</v>
      </c>
      <c r="F167" s="19"/>
      <c r="G167" s="61"/>
      <c r="H167" s="61"/>
      <c r="I167" s="61"/>
      <c r="J167" s="61"/>
      <c r="K167" s="50"/>
      <c r="L167" s="36"/>
      <c r="O167" s="61"/>
    </row>
    <row r="168" spans="1:22" ht="26.4" x14ac:dyDescent="0.25">
      <c r="A168" s="59" t="s">
        <v>732</v>
      </c>
      <c r="B168" s="1"/>
      <c r="C168" s="28" t="s">
        <v>215</v>
      </c>
      <c r="D168" s="1" t="s">
        <v>81</v>
      </c>
      <c r="E168" s="19">
        <f>180-18.7</f>
        <v>161.30000000000001</v>
      </c>
      <c r="F168" s="19"/>
      <c r="G168" s="61"/>
      <c r="H168" s="61"/>
      <c r="I168" s="61"/>
      <c r="J168" s="61"/>
      <c r="K168" s="50"/>
      <c r="L168" s="36"/>
      <c r="O168" s="61"/>
    </row>
    <row r="169" spans="1:22" ht="12.6" customHeight="1" x14ac:dyDescent="0.25">
      <c r="A169" s="59" t="s">
        <v>733</v>
      </c>
      <c r="B169" s="1"/>
      <c r="C169" s="67" t="s">
        <v>307</v>
      </c>
      <c r="D169" s="14" t="s">
        <v>81</v>
      </c>
      <c r="E169" s="19">
        <f>55+75-60</f>
        <v>70</v>
      </c>
      <c r="F169" s="19"/>
      <c r="G169" s="61"/>
      <c r="H169" s="61"/>
      <c r="I169" s="61"/>
      <c r="J169" s="61"/>
      <c r="K169" s="50"/>
      <c r="L169" s="36"/>
      <c r="O169" s="61"/>
      <c r="V169" s="36"/>
    </row>
    <row r="170" spans="1:22" ht="26.4" x14ac:dyDescent="0.25">
      <c r="A170" s="59" t="s">
        <v>734</v>
      </c>
      <c r="B170" s="1"/>
      <c r="C170" s="15" t="s">
        <v>381</v>
      </c>
      <c r="D170" s="1" t="s">
        <v>81</v>
      </c>
      <c r="E170" s="19">
        <v>202.5</v>
      </c>
      <c r="F170" s="19"/>
      <c r="G170" s="61"/>
      <c r="H170" s="61"/>
      <c r="I170" s="61"/>
      <c r="J170" s="61"/>
      <c r="K170" s="50"/>
      <c r="L170" s="36"/>
      <c r="O170" s="61"/>
    </row>
    <row r="171" spans="1:22" ht="12.6" customHeight="1" x14ac:dyDescent="0.25">
      <c r="A171" s="12">
        <v>76</v>
      </c>
      <c r="B171" s="1"/>
      <c r="C171" s="15" t="s">
        <v>6</v>
      </c>
      <c r="D171" s="1" t="s">
        <v>83</v>
      </c>
      <c r="E171" s="19">
        <f>6.5+2</f>
        <v>8.5</v>
      </c>
      <c r="F171" s="19">
        <f>6.3+0.4</f>
        <v>6.7</v>
      </c>
      <c r="G171" s="61"/>
      <c r="H171" s="61"/>
      <c r="I171" s="61"/>
      <c r="J171" s="61"/>
      <c r="K171" s="50"/>
      <c r="L171" s="36"/>
      <c r="O171" s="61"/>
    </row>
    <row r="172" spans="1:22" ht="30" customHeight="1" x14ac:dyDescent="0.25">
      <c r="A172" s="12">
        <v>77</v>
      </c>
      <c r="B172" s="11" t="s">
        <v>105</v>
      </c>
      <c r="C172" s="72" t="s">
        <v>106</v>
      </c>
      <c r="D172" s="1"/>
      <c r="E172" s="42">
        <f>+E175+E173</f>
        <v>627.5</v>
      </c>
      <c r="F172" s="42">
        <f>+F175</f>
        <v>0</v>
      </c>
      <c r="G172" s="61"/>
      <c r="H172" s="61"/>
      <c r="I172" s="61"/>
      <c r="J172" s="61"/>
      <c r="O172" s="61"/>
    </row>
    <row r="173" spans="1:22" ht="12.6" customHeight="1" x14ac:dyDescent="0.25">
      <c r="A173" s="177">
        <v>78</v>
      </c>
      <c r="B173" s="195"/>
      <c r="C173" s="48" t="s">
        <v>360</v>
      </c>
      <c r="D173" s="179" t="s">
        <v>107</v>
      </c>
      <c r="E173" s="19">
        <f>+E174</f>
        <v>112.5</v>
      </c>
      <c r="F173" s="42"/>
      <c r="G173" s="61"/>
      <c r="H173" s="61"/>
      <c r="I173" s="61"/>
      <c r="J173" s="61"/>
      <c r="O173" s="61"/>
    </row>
    <row r="174" spans="1:22" ht="26.4" x14ac:dyDescent="0.25">
      <c r="A174" s="178"/>
      <c r="B174" s="196"/>
      <c r="C174" s="68" t="s">
        <v>373</v>
      </c>
      <c r="D174" s="180"/>
      <c r="E174" s="19">
        <v>112.5</v>
      </c>
      <c r="F174" s="19"/>
      <c r="G174" s="61"/>
      <c r="H174" s="61"/>
      <c r="I174" s="61"/>
      <c r="J174" s="61"/>
      <c r="O174" s="61"/>
    </row>
    <row r="175" spans="1:22" ht="12.6" customHeight="1" x14ac:dyDescent="0.25">
      <c r="A175" s="12">
        <v>79</v>
      </c>
      <c r="B175" s="1"/>
      <c r="C175" s="16" t="s">
        <v>184</v>
      </c>
      <c r="D175" s="1"/>
      <c r="E175" s="19">
        <f>+E176+E177+E178</f>
        <v>515</v>
      </c>
      <c r="F175" s="19">
        <f>+F176+F177+F178</f>
        <v>0</v>
      </c>
      <c r="G175" s="61"/>
      <c r="H175" s="61"/>
      <c r="I175" s="61"/>
      <c r="J175" s="61"/>
      <c r="O175" s="61"/>
    </row>
    <row r="176" spans="1:22" ht="27.6" customHeight="1" x14ac:dyDescent="0.25">
      <c r="A176" s="73" t="s">
        <v>735</v>
      </c>
      <c r="B176" s="1"/>
      <c r="C176" s="66" t="s">
        <v>201</v>
      </c>
      <c r="D176" s="1" t="s">
        <v>107</v>
      </c>
      <c r="E176" s="19">
        <v>75</v>
      </c>
      <c r="F176" s="19"/>
      <c r="G176" s="61"/>
      <c r="H176" s="61"/>
      <c r="I176" s="61"/>
      <c r="J176" s="61"/>
      <c r="O176" s="61"/>
    </row>
    <row r="177" spans="1:15" ht="12.6" customHeight="1" x14ac:dyDescent="0.25">
      <c r="A177" s="73" t="s">
        <v>736</v>
      </c>
      <c r="B177" s="1"/>
      <c r="C177" s="66" t="s">
        <v>144</v>
      </c>
      <c r="D177" s="1" t="s">
        <v>146</v>
      </c>
      <c r="E177" s="19">
        <f>35+10</f>
        <v>45</v>
      </c>
      <c r="F177" s="19"/>
      <c r="G177" s="61"/>
      <c r="H177" s="61"/>
      <c r="I177" s="61"/>
      <c r="J177" s="61"/>
      <c r="O177" s="61"/>
    </row>
    <row r="178" spans="1:15" ht="41.4" customHeight="1" x14ac:dyDescent="0.25">
      <c r="A178" s="73" t="s">
        <v>737</v>
      </c>
      <c r="B178" s="1"/>
      <c r="C178" s="64" t="s">
        <v>460</v>
      </c>
      <c r="D178" s="11"/>
      <c r="E178" s="65">
        <f>SUM(E179:E192)</f>
        <v>395</v>
      </c>
      <c r="F178" s="65">
        <f>SUM(F179:F192)</f>
        <v>0</v>
      </c>
      <c r="G178" s="61"/>
      <c r="H178" s="61"/>
      <c r="I178" s="61"/>
      <c r="J178" s="61"/>
      <c r="M178" s="36"/>
      <c r="O178" s="61"/>
    </row>
    <row r="179" spans="1:15" ht="26.4" x14ac:dyDescent="0.25">
      <c r="A179" s="59" t="s">
        <v>738</v>
      </c>
      <c r="B179" s="1"/>
      <c r="C179" s="67" t="s">
        <v>202</v>
      </c>
      <c r="D179" s="14" t="s">
        <v>161</v>
      </c>
      <c r="E179" s="19">
        <v>45</v>
      </c>
      <c r="F179" s="19"/>
      <c r="G179" s="61"/>
      <c r="H179" s="61"/>
      <c r="I179" s="61"/>
      <c r="J179" s="61"/>
      <c r="O179" s="61"/>
    </row>
    <row r="180" spans="1:15" ht="26.4" x14ac:dyDescent="0.25">
      <c r="A180" s="59" t="s">
        <v>739</v>
      </c>
      <c r="B180" s="1"/>
      <c r="C180" s="66" t="s">
        <v>308</v>
      </c>
      <c r="D180" s="1" t="s">
        <v>117</v>
      </c>
      <c r="E180" s="19">
        <f>26+5</f>
        <v>31</v>
      </c>
      <c r="F180" s="19"/>
      <c r="G180" s="61"/>
      <c r="H180" s="61"/>
      <c r="I180" s="61"/>
      <c r="J180" s="61"/>
      <c r="O180" s="61"/>
    </row>
    <row r="181" spans="1:15" ht="26.4" x14ac:dyDescent="0.25">
      <c r="A181" s="59" t="s">
        <v>740</v>
      </c>
      <c r="B181" s="1"/>
      <c r="C181" s="67" t="s">
        <v>309</v>
      </c>
      <c r="D181" s="1" t="s">
        <v>117</v>
      </c>
      <c r="E181" s="19">
        <v>40</v>
      </c>
      <c r="F181" s="19"/>
      <c r="G181" s="61"/>
      <c r="H181" s="61"/>
      <c r="I181" s="61"/>
      <c r="J181" s="61"/>
      <c r="O181" s="61"/>
    </row>
    <row r="182" spans="1:15" ht="26.4" x14ac:dyDescent="0.25">
      <c r="A182" s="59" t="s">
        <v>741</v>
      </c>
      <c r="B182" s="1"/>
      <c r="C182" s="67" t="s">
        <v>310</v>
      </c>
      <c r="D182" s="14" t="s">
        <v>127</v>
      </c>
      <c r="E182" s="19">
        <f>6+8</f>
        <v>14</v>
      </c>
      <c r="F182" s="19"/>
      <c r="G182" s="61"/>
      <c r="H182" s="61"/>
      <c r="I182" s="61"/>
      <c r="J182" s="61"/>
      <c r="O182" s="61"/>
    </row>
    <row r="183" spans="1:15" ht="39.6" x14ac:dyDescent="0.25">
      <c r="A183" s="59" t="s">
        <v>742</v>
      </c>
      <c r="B183" s="1"/>
      <c r="C183" s="67" t="s">
        <v>488</v>
      </c>
      <c r="D183" s="31" t="s">
        <v>117</v>
      </c>
      <c r="E183" s="19">
        <f>12-10</f>
        <v>2</v>
      </c>
      <c r="F183" s="19"/>
      <c r="G183" s="61"/>
      <c r="H183" s="61"/>
      <c r="I183" s="61"/>
      <c r="J183" s="61"/>
      <c r="O183" s="61"/>
    </row>
    <row r="184" spans="1:15" ht="26.4" x14ac:dyDescent="0.25">
      <c r="A184" s="59" t="s">
        <v>743</v>
      </c>
      <c r="B184" s="1"/>
      <c r="C184" s="67" t="s">
        <v>311</v>
      </c>
      <c r="D184" s="31" t="s">
        <v>117</v>
      </c>
      <c r="E184" s="19">
        <f>15+10+7.5</f>
        <v>32.5</v>
      </c>
      <c r="F184" s="19"/>
      <c r="G184" s="61"/>
      <c r="H184" s="61"/>
      <c r="I184" s="61"/>
      <c r="J184" s="61"/>
      <c r="O184" s="61"/>
    </row>
    <row r="185" spans="1:15" ht="39.6" x14ac:dyDescent="0.25">
      <c r="A185" s="59" t="s">
        <v>744</v>
      </c>
      <c r="B185" s="1"/>
      <c r="C185" s="67" t="s">
        <v>487</v>
      </c>
      <c r="D185" s="31" t="s">
        <v>587</v>
      </c>
      <c r="E185" s="19">
        <f>130-25</f>
        <v>105</v>
      </c>
      <c r="F185" s="19"/>
      <c r="G185" s="61"/>
      <c r="H185" s="61"/>
      <c r="I185" s="61"/>
      <c r="J185" s="61"/>
      <c r="O185" s="61"/>
    </row>
    <row r="186" spans="1:15" ht="12.6" customHeight="1" x14ac:dyDescent="0.25">
      <c r="A186" s="59" t="s">
        <v>745</v>
      </c>
      <c r="B186" s="1"/>
      <c r="C186" s="67" t="s">
        <v>489</v>
      </c>
      <c r="D186" s="31" t="s">
        <v>117</v>
      </c>
      <c r="E186" s="19">
        <v>30</v>
      </c>
      <c r="F186" s="19"/>
      <c r="G186" s="61"/>
      <c r="H186" s="61"/>
      <c r="I186" s="61"/>
      <c r="J186" s="61"/>
      <c r="O186" s="61"/>
    </row>
    <row r="187" spans="1:15" ht="39.6" x14ac:dyDescent="0.25">
      <c r="A187" s="59" t="s">
        <v>746</v>
      </c>
      <c r="B187" s="1"/>
      <c r="C187" s="67" t="s">
        <v>177</v>
      </c>
      <c r="D187" s="1" t="s">
        <v>107</v>
      </c>
      <c r="E187" s="19">
        <v>3.5</v>
      </c>
      <c r="F187" s="19"/>
      <c r="G187" s="61"/>
      <c r="H187" s="61"/>
      <c r="I187" s="61"/>
      <c r="J187" s="61"/>
      <c r="O187" s="61"/>
    </row>
    <row r="188" spans="1:15" ht="26.4" x14ac:dyDescent="0.25">
      <c r="A188" s="59" t="s">
        <v>747</v>
      </c>
      <c r="B188" s="1"/>
      <c r="C188" s="67" t="s">
        <v>312</v>
      </c>
      <c r="D188" s="31" t="s">
        <v>117</v>
      </c>
      <c r="E188" s="19">
        <v>3</v>
      </c>
      <c r="F188" s="19"/>
      <c r="G188" s="61"/>
      <c r="H188" s="61"/>
      <c r="I188" s="61"/>
      <c r="J188" s="61"/>
      <c r="O188" s="61"/>
    </row>
    <row r="189" spans="1:15" ht="26.4" x14ac:dyDescent="0.25">
      <c r="A189" s="59" t="s">
        <v>748</v>
      </c>
      <c r="B189" s="1"/>
      <c r="C189" s="67" t="s">
        <v>313</v>
      </c>
      <c r="D189" s="31" t="s">
        <v>117</v>
      </c>
      <c r="E189" s="19">
        <v>3</v>
      </c>
      <c r="F189" s="19"/>
      <c r="G189" s="61"/>
      <c r="H189" s="61"/>
      <c r="I189" s="61"/>
      <c r="J189" s="61"/>
      <c r="O189" s="61"/>
    </row>
    <row r="190" spans="1:15" ht="26.4" x14ac:dyDescent="0.25">
      <c r="A190" s="59" t="s">
        <v>749</v>
      </c>
      <c r="B190" s="1"/>
      <c r="C190" s="67" t="s">
        <v>490</v>
      </c>
      <c r="D190" s="31" t="s">
        <v>117</v>
      </c>
      <c r="E190" s="19">
        <v>20</v>
      </c>
      <c r="F190" s="19"/>
      <c r="G190" s="61"/>
      <c r="H190" s="61"/>
      <c r="I190" s="61"/>
      <c r="J190" s="61"/>
      <c r="O190" s="61"/>
    </row>
    <row r="191" spans="1:15" ht="39.6" x14ac:dyDescent="0.25">
      <c r="A191" s="59" t="s">
        <v>750</v>
      </c>
      <c r="B191" s="1"/>
      <c r="C191" s="67" t="s">
        <v>491</v>
      </c>
      <c r="D191" s="31" t="s">
        <v>107</v>
      </c>
      <c r="E191" s="19">
        <v>40</v>
      </c>
      <c r="F191" s="19"/>
      <c r="G191" s="61"/>
      <c r="H191" s="61"/>
      <c r="I191" s="61"/>
      <c r="J191" s="61"/>
      <c r="O191" s="61"/>
    </row>
    <row r="192" spans="1:15" ht="52.8" x14ac:dyDescent="0.25">
      <c r="A192" s="59" t="s">
        <v>751</v>
      </c>
      <c r="B192" s="1"/>
      <c r="C192" s="67" t="s">
        <v>602</v>
      </c>
      <c r="D192" s="31" t="s">
        <v>107</v>
      </c>
      <c r="E192" s="19">
        <f>40-14</f>
        <v>26</v>
      </c>
      <c r="F192" s="19"/>
      <c r="G192" s="61"/>
      <c r="H192" s="61"/>
      <c r="I192" s="61"/>
      <c r="J192" s="61"/>
      <c r="O192" s="61"/>
    </row>
    <row r="193" spans="1:15" ht="27" customHeight="1" x14ac:dyDescent="0.25">
      <c r="A193" s="12">
        <v>80</v>
      </c>
      <c r="B193" s="11" t="s">
        <v>85</v>
      </c>
      <c r="C193" s="45" t="s">
        <v>86</v>
      </c>
      <c r="D193" s="9"/>
      <c r="E193" s="44">
        <f>+E194+E230+E231+E232+E233+E234+E235+E236+E237+E238+E239+E240</f>
        <v>2638.4</v>
      </c>
      <c r="F193" s="44">
        <f>+F231+F232+F234+F233+F230+F235+F236+F238+F237+F239+F240+F194</f>
        <v>0</v>
      </c>
      <c r="G193" s="61"/>
      <c r="H193" s="61"/>
      <c r="I193" s="61"/>
      <c r="J193" s="61"/>
      <c r="O193" s="61"/>
    </row>
    <row r="194" spans="1:15" ht="12.6" customHeight="1" x14ac:dyDescent="0.25">
      <c r="A194" s="12">
        <v>81</v>
      </c>
      <c r="B194" s="1"/>
      <c r="C194" s="16" t="s">
        <v>192</v>
      </c>
      <c r="D194" s="14"/>
      <c r="E194" s="19">
        <f>E195</f>
        <v>2239.1</v>
      </c>
      <c r="F194" s="19">
        <f>F195</f>
        <v>0</v>
      </c>
      <c r="G194" s="61"/>
      <c r="H194" s="61"/>
      <c r="I194" s="61"/>
      <c r="J194" s="61"/>
      <c r="O194" s="61"/>
    </row>
    <row r="195" spans="1:15" ht="39" customHeight="1" x14ac:dyDescent="0.25">
      <c r="A195" s="59" t="s">
        <v>752</v>
      </c>
      <c r="B195" s="1"/>
      <c r="C195" s="64" t="s">
        <v>460</v>
      </c>
      <c r="D195" s="14"/>
      <c r="E195" s="65">
        <f>SUM(E196:E229)</f>
        <v>2239.1</v>
      </c>
      <c r="F195" s="65">
        <f>SUM(F196:F229)</f>
        <v>0</v>
      </c>
      <c r="G195" s="61"/>
      <c r="H195" s="61"/>
      <c r="I195" s="61"/>
      <c r="J195" s="61"/>
      <c r="O195" s="61"/>
    </row>
    <row r="196" spans="1:15" ht="27.6" customHeight="1" x14ac:dyDescent="0.25">
      <c r="A196" s="59" t="s">
        <v>753</v>
      </c>
      <c r="B196" s="1"/>
      <c r="C196" s="28" t="s">
        <v>496</v>
      </c>
      <c r="D196" s="14" t="s">
        <v>129</v>
      </c>
      <c r="E196" s="19">
        <f>65-20+30</f>
        <v>75</v>
      </c>
      <c r="F196" s="19"/>
      <c r="G196" s="61"/>
      <c r="H196" s="61"/>
      <c r="I196" s="61"/>
      <c r="J196" s="61"/>
      <c r="O196" s="61"/>
    </row>
    <row r="197" spans="1:15" ht="27.6" customHeight="1" x14ac:dyDescent="0.25">
      <c r="A197" s="59" t="s">
        <v>754</v>
      </c>
      <c r="B197" s="1"/>
      <c r="C197" s="28" t="s">
        <v>622</v>
      </c>
      <c r="D197" s="14" t="s">
        <v>129</v>
      </c>
      <c r="E197" s="19">
        <v>20</v>
      </c>
      <c r="F197" s="19"/>
      <c r="G197" s="61"/>
      <c r="H197" s="61"/>
      <c r="I197" s="61"/>
      <c r="J197" s="61"/>
      <c r="O197" s="61"/>
    </row>
    <row r="198" spans="1:15" ht="27" customHeight="1" x14ac:dyDescent="0.25">
      <c r="A198" s="59" t="s">
        <v>755</v>
      </c>
      <c r="B198" s="1"/>
      <c r="C198" s="67" t="s">
        <v>497</v>
      </c>
      <c r="D198" s="14" t="s">
        <v>38</v>
      </c>
      <c r="E198" s="19">
        <v>45</v>
      </c>
      <c r="F198" s="19"/>
      <c r="G198" s="61"/>
      <c r="H198" s="61"/>
      <c r="I198" s="61"/>
      <c r="J198" s="61"/>
      <c r="O198" s="61"/>
    </row>
    <row r="199" spans="1:15" ht="40.200000000000003" customHeight="1" x14ac:dyDescent="0.25">
      <c r="A199" s="59" t="s">
        <v>756</v>
      </c>
      <c r="B199" s="1"/>
      <c r="C199" s="16" t="s">
        <v>142</v>
      </c>
      <c r="D199" s="14" t="s">
        <v>129</v>
      </c>
      <c r="E199" s="19">
        <f>30+30</f>
        <v>60</v>
      </c>
      <c r="F199" s="19"/>
      <c r="G199" s="61"/>
      <c r="H199" s="61"/>
      <c r="I199" s="61"/>
      <c r="J199" s="61"/>
      <c r="O199" s="61"/>
    </row>
    <row r="200" spans="1:15" ht="26.4" x14ac:dyDescent="0.25">
      <c r="A200" s="59" t="s">
        <v>757</v>
      </c>
      <c r="B200" s="1"/>
      <c r="C200" s="16" t="s">
        <v>314</v>
      </c>
      <c r="D200" s="14" t="s">
        <v>362</v>
      </c>
      <c r="E200" s="19">
        <v>12</v>
      </c>
      <c r="F200" s="19"/>
      <c r="G200" s="61"/>
      <c r="H200" s="61"/>
      <c r="I200" s="61"/>
      <c r="J200" s="61"/>
      <c r="O200" s="61"/>
    </row>
    <row r="201" spans="1:15" ht="39.6" x14ac:dyDescent="0.25">
      <c r="A201" s="59" t="s">
        <v>758</v>
      </c>
      <c r="B201" s="1"/>
      <c r="C201" s="16" t="s">
        <v>565</v>
      </c>
      <c r="D201" s="74" t="s">
        <v>226</v>
      </c>
      <c r="E201" s="19">
        <f>90-23-6</f>
        <v>61</v>
      </c>
      <c r="F201" s="19"/>
      <c r="G201" s="61"/>
      <c r="H201" s="61"/>
      <c r="I201" s="61"/>
      <c r="J201" s="61"/>
      <c r="O201" s="61"/>
    </row>
    <row r="202" spans="1:15" ht="39.6" x14ac:dyDescent="0.25">
      <c r="A202" s="59" t="s">
        <v>759</v>
      </c>
      <c r="B202" s="1"/>
      <c r="C202" s="15" t="s">
        <v>164</v>
      </c>
      <c r="D202" s="14" t="s">
        <v>162</v>
      </c>
      <c r="E202" s="19">
        <v>150</v>
      </c>
      <c r="F202" s="19"/>
      <c r="G202" s="61"/>
      <c r="H202" s="61"/>
      <c r="I202" s="61"/>
      <c r="J202" s="61"/>
      <c r="O202" s="61"/>
    </row>
    <row r="203" spans="1:15" x14ac:dyDescent="0.25">
      <c r="A203" s="59" t="s">
        <v>760</v>
      </c>
      <c r="B203" s="1"/>
      <c r="C203" s="15" t="s">
        <v>143</v>
      </c>
      <c r="D203" s="75" t="s">
        <v>227</v>
      </c>
      <c r="E203" s="19">
        <v>85</v>
      </c>
      <c r="F203" s="19"/>
      <c r="G203" s="61"/>
      <c r="H203" s="61"/>
      <c r="I203" s="61"/>
      <c r="J203" s="61"/>
      <c r="O203" s="61"/>
    </row>
    <row r="204" spans="1:15" ht="12.6" customHeight="1" x14ac:dyDescent="0.25">
      <c r="A204" s="59" t="s">
        <v>761</v>
      </c>
      <c r="B204" s="1"/>
      <c r="C204" s="15" t="s">
        <v>231</v>
      </c>
      <c r="D204" s="75" t="s">
        <v>227</v>
      </c>
      <c r="E204" s="19">
        <f>71-20+1.5</f>
        <v>52.5</v>
      </c>
      <c r="F204" s="19"/>
      <c r="G204" s="61"/>
      <c r="H204" s="61"/>
      <c r="I204" s="61"/>
      <c r="J204" s="61"/>
      <c r="O204" s="61"/>
    </row>
    <row r="205" spans="1:15" ht="12.6" customHeight="1" x14ac:dyDescent="0.25">
      <c r="A205" s="59" t="s">
        <v>762</v>
      </c>
      <c r="B205" s="1"/>
      <c r="C205" s="15" t="s">
        <v>315</v>
      </c>
      <c r="D205" s="75" t="s">
        <v>227</v>
      </c>
      <c r="E205" s="19">
        <f>49+30+5.7</f>
        <v>84.7</v>
      </c>
      <c r="F205" s="19"/>
      <c r="G205" s="61"/>
      <c r="H205" s="61"/>
      <c r="I205" s="61"/>
      <c r="J205" s="61"/>
      <c r="O205" s="61"/>
    </row>
    <row r="206" spans="1:15" ht="26.4" x14ac:dyDescent="0.25">
      <c r="A206" s="59" t="s">
        <v>763</v>
      </c>
      <c r="B206" s="1"/>
      <c r="C206" s="15" t="s">
        <v>498</v>
      </c>
      <c r="D206" s="75" t="s">
        <v>227</v>
      </c>
      <c r="E206" s="19">
        <v>111</v>
      </c>
      <c r="F206" s="19"/>
      <c r="G206" s="61"/>
      <c r="H206" s="61"/>
      <c r="I206" s="61"/>
      <c r="J206" s="61"/>
      <c r="O206" s="61"/>
    </row>
    <row r="207" spans="1:15" ht="26.4" x14ac:dyDescent="0.25">
      <c r="A207" s="59" t="s">
        <v>764</v>
      </c>
      <c r="B207" s="1"/>
      <c r="C207" s="15" t="s">
        <v>499</v>
      </c>
      <c r="D207" s="74" t="s">
        <v>226</v>
      </c>
      <c r="E207" s="19">
        <f>25-1</f>
        <v>24</v>
      </c>
      <c r="F207" s="19"/>
      <c r="G207" s="61"/>
      <c r="H207" s="61"/>
      <c r="I207" s="61"/>
      <c r="J207" s="61"/>
      <c r="O207" s="61"/>
    </row>
    <row r="208" spans="1:15" ht="26.4" x14ac:dyDescent="0.25">
      <c r="A208" s="59" t="s">
        <v>765</v>
      </c>
      <c r="B208" s="1"/>
      <c r="C208" s="15" t="s">
        <v>500</v>
      </c>
      <c r="D208" s="74" t="s">
        <v>226</v>
      </c>
      <c r="E208" s="19">
        <f>15-11</f>
        <v>4</v>
      </c>
      <c r="F208" s="19"/>
      <c r="G208" s="61"/>
      <c r="H208" s="61"/>
      <c r="I208" s="61"/>
      <c r="J208" s="61"/>
      <c r="O208" s="61"/>
    </row>
    <row r="209" spans="1:15" ht="26.4" x14ac:dyDescent="0.25">
      <c r="A209" s="59" t="s">
        <v>766</v>
      </c>
      <c r="B209" s="1"/>
      <c r="C209" s="15" t="s">
        <v>501</v>
      </c>
      <c r="D209" s="74" t="s">
        <v>226</v>
      </c>
      <c r="E209" s="19">
        <f>105+23+4.5</f>
        <v>132.5</v>
      </c>
      <c r="F209" s="19"/>
      <c r="G209" s="61"/>
      <c r="H209" s="61"/>
      <c r="I209" s="61"/>
      <c r="J209" s="61"/>
      <c r="O209" s="61"/>
    </row>
    <row r="210" spans="1:15" ht="39.6" x14ac:dyDescent="0.25">
      <c r="A210" s="59" t="s">
        <v>767</v>
      </c>
      <c r="B210" s="1"/>
      <c r="C210" s="15" t="s">
        <v>502</v>
      </c>
      <c r="D210" s="74" t="s">
        <v>226</v>
      </c>
      <c r="E210" s="19">
        <v>327</v>
      </c>
      <c r="F210" s="19"/>
      <c r="G210" s="61"/>
      <c r="H210" s="61"/>
      <c r="I210" s="61"/>
      <c r="J210" s="61"/>
      <c r="O210" s="61"/>
    </row>
    <row r="211" spans="1:15" ht="26.4" x14ac:dyDescent="0.25">
      <c r="A211" s="59" t="s">
        <v>768</v>
      </c>
      <c r="B211" s="1"/>
      <c r="C211" s="15" t="s">
        <v>503</v>
      </c>
      <c r="D211" s="74" t="s">
        <v>226</v>
      </c>
      <c r="E211" s="19">
        <v>100</v>
      </c>
      <c r="F211" s="19"/>
      <c r="G211" s="61"/>
      <c r="H211" s="61"/>
      <c r="I211" s="61"/>
      <c r="J211" s="61"/>
      <c r="O211" s="61"/>
    </row>
    <row r="212" spans="1:15" ht="26.4" x14ac:dyDescent="0.25">
      <c r="A212" s="59" t="s">
        <v>769</v>
      </c>
      <c r="B212" s="1"/>
      <c r="C212" s="15" t="s">
        <v>504</v>
      </c>
      <c r="D212" s="75" t="s">
        <v>162</v>
      </c>
      <c r="E212" s="19">
        <v>64.8</v>
      </c>
      <c r="F212" s="19"/>
      <c r="G212" s="61"/>
      <c r="H212" s="61"/>
      <c r="I212" s="61"/>
      <c r="J212" s="61"/>
      <c r="O212" s="61"/>
    </row>
    <row r="213" spans="1:15" ht="26.4" x14ac:dyDescent="0.25">
      <c r="A213" s="59" t="s">
        <v>770</v>
      </c>
      <c r="B213" s="1"/>
      <c r="C213" s="15" t="s">
        <v>505</v>
      </c>
      <c r="D213" s="14" t="s">
        <v>149</v>
      </c>
      <c r="E213" s="19">
        <f>10-1-5</f>
        <v>4</v>
      </c>
      <c r="F213" s="19"/>
      <c r="G213" s="61"/>
      <c r="H213" s="61"/>
      <c r="I213" s="61"/>
      <c r="J213" s="61"/>
      <c r="O213" s="61"/>
    </row>
    <row r="214" spans="1:15" ht="12.6" customHeight="1" x14ac:dyDescent="0.25">
      <c r="A214" s="59" t="s">
        <v>771</v>
      </c>
      <c r="B214" s="1"/>
      <c r="C214" s="67" t="s">
        <v>316</v>
      </c>
      <c r="D214" s="14" t="s">
        <v>149</v>
      </c>
      <c r="E214" s="19">
        <f>15-3</f>
        <v>12</v>
      </c>
      <c r="F214" s="19"/>
      <c r="G214" s="61"/>
      <c r="H214" s="61"/>
      <c r="I214" s="61"/>
      <c r="J214" s="61"/>
      <c r="O214" s="61"/>
    </row>
    <row r="215" spans="1:15" ht="26.4" x14ac:dyDescent="0.25">
      <c r="A215" s="59" t="s">
        <v>772</v>
      </c>
      <c r="B215" s="1"/>
      <c r="C215" s="67" t="s">
        <v>317</v>
      </c>
      <c r="D215" s="14" t="s">
        <v>149</v>
      </c>
      <c r="E215" s="19">
        <v>12</v>
      </c>
      <c r="F215" s="19"/>
      <c r="G215" s="61"/>
      <c r="H215" s="61"/>
      <c r="I215" s="61"/>
      <c r="J215" s="61"/>
      <c r="O215" s="61"/>
    </row>
    <row r="216" spans="1:15" ht="26.4" x14ac:dyDescent="0.25">
      <c r="A216" s="59" t="s">
        <v>773</v>
      </c>
      <c r="B216" s="1"/>
      <c r="C216" s="67" t="s">
        <v>584</v>
      </c>
      <c r="D216" s="14" t="s">
        <v>149</v>
      </c>
      <c r="E216" s="19">
        <f>15+4+1+10-11</f>
        <v>19</v>
      </c>
      <c r="F216" s="19"/>
      <c r="G216" s="61"/>
      <c r="H216" s="61"/>
      <c r="I216" s="61"/>
      <c r="J216" s="61"/>
      <c r="O216" s="61"/>
    </row>
    <row r="217" spans="1:15" ht="12.6" customHeight="1" x14ac:dyDescent="0.25">
      <c r="A217" s="59" t="s">
        <v>774</v>
      </c>
      <c r="B217" s="1"/>
      <c r="C217" s="67" t="s">
        <v>123</v>
      </c>
      <c r="D217" s="14" t="s">
        <v>166</v>
      </c>
      <c r="E217" s="19">
        <f>10+30</f>
        <v>40</v>
      </c>
      <c r="F217" s="19"/>
      <c r="G217" s="61"/>
      <c r="H217" s="61"/>
      <c r="I217" s="61"/>
      <c r="J217" s="61"/>
      <c r="O217" s="61"/>
    </row>
    <row r="218" spans="1:15" ht="12.6" customHeight="1" x14ac:dyDescent="0.25">
      <c r="A218" s="59" t="s">
        <v>775</v>
      </c>
      <c r="B218" s="1"/>
      <c r="C218" s="67" t="s">
        <v>124</v>
      </c>
      <c r="D218" s="14" t="s">
        <v>166</v>
      </c>
      <c r="E218" s="19">
        <f>40+20+30</f>
        <v>90</v>
      </c>
      <c r="F218" s="19"/>
      <c r="G218" s="61"/>
      <c r="H218" s="61"/>
      <c r="I218" s="61"/>
      <c r="J218" s="61"/>
      <c r="O218" s="61"/>
    </row>
    <row r="219" spans="1:15" ht="26.4" x14ac:dyDescent="0.25">
      <c r="A219" s="59" t="s">
        <v>776</v>
      </c>
      <c r="B219" s="1"/>
      <c r="C219" s="15" t="s">
        <v>318</v>
      </c>
      <c r="D219" s="14" t="s">
        <v>87</v>
      </c>
      <c r="E219" s="19">
        <f>100+50</f>
        <v>150</v>
      </c>
      <c r="F219" s="19"/>
      <c r="G219" s="61"/>
      <c r="H219" s="61"/>
      <c r="I219" s="61"/>
      <c r="J219" s="61"/>
      <c r="O219" s="61"/>
    </row>
    <row r="220" spans="1:15" ht="26.4" x14ac:dyDescent="0.25">
      <c r="A220" s="59" t="s">
        <v>777</v>
      </c>
      <c r="B220" s="1"/>
      <c r="C220" s="67" t="s">
        <v>840</v>
      </c>
      <c r="D220" s="14" t="s">
        <v>87</v>
      </c>
      <c r="E220" s="19">
        <f>20+10+10+21</f>
        <v>61</v>
      </c>
      <c r="F220" s="19"/>
      <c r="G220" s="61"/>
      <c r="H220" s="61"/>
      <c r="I220" s="61"/>
      <c r="J220" s="61"/>
      <c r="O220" s="61"/>
    </row>
    <row r="221" spans="1:15" ht="12.6" customHeight="1" x14ac:dyDescent="0.25">
      <c r="A221" s="59" t="s">
        <v>778</v>
      </c>
      <c r="B221" s="1"/>
      <c r="C221" s="67" t="s">
        <v>158</v>
      </c>
      <c r="D221" s="14" t="s">
        <v>588</v>
      </c>
      <c r="E221" s="19">
        <v>15.5</v>
      </c>
      <c r="F221" s="19"/>
      <c r="G221" s="61"/>
      <c r="H221" s="61"/>
      <c r="I221" s="61"/>
      <c r="J221" s="61"/>
      <c r="O221" s="61"/>
    </row>
    <row r="222" spans="1:15" ht="12.6" customHeight="1" x14ac:dyDescent="0.25">
      <c r="A222" s="59" t="s">
        <v>779</v>
      </c>
      <c r="B222" s="1"/>
      <c r="C222" s="67" t="s">
        <v>125</v>
      </c>
      <c r="D222" s="14" t="s">
        <v>166</v>
      </c>
      <c r="E222" s="19">
        <v>70</v>
      </c>
      <c r="F222" s="19"/>
      <c r="G222" s="61"/>
      <c r="H222" s="61"/>
      <c r="I222" s="61"/>
      <c r="J222" s="61"/>
      <c r="O222" s="61"/>
    </row>
    <row r="223" spans="1:15" ht="12.6" customHeight="1" x14ac:dyDescent="0.25">
      <c r="A223" s="59" t="s">
        <v>780</v>
      </c>
      <c r="B223" s="1"/>
      <c r="C223" s="67" t="s">
        <v>506</v>
      </c>
      <c r="D223" s="14" t="s">
        <v>166</v>
      </c>
      <c r="E223" s="19">
        <f>70+40+5</f>
        <v>115</v>
      </c>
      <c r="F223" s="19"/>
      <c r="G223" s="61"/>
      <c r="H223" s="61"/>
      <c r="I223" s="61"/>
      <c r="J223" s="61"/>
      <c r="O223" s="61"/>
    </row>
    <row r="224" spans="1:15" ht="12.6" customHeight="1" x14ac:dyDescent="0.25">
      <c r="A224" s="59" t="s">
        <v>781</v>
      </c>
      <c r="B224" s="1"/>
      <c r="C224" s="67" t="s">
        <v>126</v>
      </c>
      <c r="D224" s="14" t="s">
        <v>166</v>
      </c>
      <c r="E224" s="19">
        <f>30+20+30</f>
        <v>80</v>
      </c>
      <c r="F224" s="19"/>
      <c r="G224" s="61"/>
      <c r="H224" s="61"/>
      <c r="I224" s="61"/>
      <c r="J224" s="61"/>
      <c r="O224" s="61"/>
    </row>
    <row r="225" spans="1:10" ht="26.4" x14ac:dyDescent="0.25">
      <c r="A225" s="59" t="s">
        <v>782</v>
      </c>
      <c r="B225" s="1"/>
      <c r="C225" s="15" t="s">
        <v>507</v>
      </c>
      <c r="D225" s="14" t="s">
        <v>166</v>
      </c>
      <c r="E225" s="19">
        <f>100-20-20</f>
        <v>60</v>
      </c>
      <c r="F225" s="19"/>
      <c r="G225" s="61"/>
      <c r="H225" s="61"/>
      <c r="I225" s="61"/>
      <c r="J225" s="61"/>
    </row>
    <row r="226" spans="1:10" ht="26.4" x14ac:dyDescent="0.25">
      <c r="A226" s="59" t="s">
        <v>783</v>
      </c>
      <c r="B226" s="1"/>
      <c r="C226" s="15" t="s">
        <v>319</v>
      </c>
      <c r="D226" s="14" t="s">
        <v>88</v>
      </c>
      <c r="E226" s="19">
        <v>20</v>
      </c>
      <c r="F226" s="19"/>
      <c r="G226" s="61"/>
      <c r="H226" s="61"/>
      <c r="I226" s="61"/>
      <c r="J226" s="61"/>
    </row>
    <row r="227" spans="1:10" x14ac:dyDescent="0.25">
      <c r="A227" s="59" t="s">
        <v>784</v>
      </c>
      <c r="B227" s="1"/>
      <c r="C227" s="15" t="s">
        <v>585</v>
      </c>
      <c r="D227" s="14" t="s">
        <v>237</v>
      </c>
      <c r="E227" s="19">
        <v>10</v>
      </c>
      <c r="F227" s="19"/>
      <c r="G227" s="61"/>
      <c r="H227" s="61"/>
      <c r="I227" s="61"/>
      <c r="J227" s="61"/>
    </row>
    <row r="228" spans="1:10" x14ac:dyDescent="0.25">
      <c r="A228" s="59" t="s">
        <v>785</v>
      </c>
      <c r="B228" s="1"/>
      <c r="C228" s="15" t="s">
        <v>603</v>
      </c>
      <c r="D228" s="14" t="s">
        <v>166</v>
      </c>
      <c r="E228" s="19">
        <v>50</v>
      </c>
      <c r="F228" s="19"/>
      <c r="G228" s="61"/>
      <c r="H228" s="61"/>
      <c r="I228" s="61"/>
      <c r="J228" s="61"/>
    </row>
    <row r="229" spans="1:10" x14ac:dyDescent="0.25">
      <c r="A229" s="59" t="s">
        <v>786</v>
      </c>
      <c r="B229" s="1"/>
      <c r="C229" s="15" t="s">
        <v>639</v>
      </c>
      <c r="D229" s="14" t="s">
        <v>588</v>
      </c>
      <c r="E229" s="19">
        <f>20+2.1</f>
        <v>22.1</v>
      </c>
      <c r="F229" s="19"/>
      <c r="G229" s="61"/>
      <c r="H229" s="61"/>
      <c r="I229" s="61"/>
      <c r="J229" s="61"/>
    </row>
    <row r="230" spans="1:10" ht="26.4" x14ac:dyDescent="0.25">
      <c r="A230" s="12">
        <v>82</v>
      </c>
      <c r="B230" s="11"/>
      <c r="C230" s="15" t="s">
        <v>8</v>
      </c>
      <c r="D230" s="14" t="s">
        <v>88</v>
      </c>
      <c r="E230" s="19">
        <f>236.6+12-23.1+20</f>
        <v>245.5</v>
      </c>
      <c r="F230" s="19"/>
      <c r="G230" s="61"/>
      <c r="H230" s="61"/>
      <c r="I230" s="61"/>
      <c r="J230" s="61"/>
    </row>
    <row r="231" spans="1:10" ht="12.6" customHeight="1" x14ac:dyDescent="0.25">
      <c r="A231" s="12">
        <v>83</v>
      </c>
      <c r="B231" s="11"/>
      <c r="C231" s="15" t="s">
        <v>4</v>
      </c>
      <c r="D231" s="14" t="s">
        <v>87</v>
      </c>
      <c r="E231" s="19">
        <v>23</v>
      </c>
      <c r="F231" s="19"/>
      <c r="G231" s="61"/>
      <c r="H231" s="61"/>
      <c r="I231" s="61"/>
      <c r="J231" s="61"/>
    </row>
    <row r="232" spans="1:10" ht="12.6" customHeight="1" x14ac:dyDescent="0.25">
      <c r="A232" s="12">
        <v>84</v>
      </c>
      <c r="B232" s="11"/>
      <c r="C232" s="15" t="s">
        <v>5</v>
      </c>
      <c r="D232" s="14" t="s">
        <v>87</v>
      </c>
      <c r="E232" s="19">
        <v>10</v>
      </c>
      <c r="F232" s="19"/>
      <c r="G232" s="61"/>
      <c r="H232" s="61"/>
      <c r="I232" s="61"/>
      <c r="J232" s="61"/>
    </row>
    <row r="233" spans="1:10" ht="12.6" customHeight="1" x14ac:dyDescent="0.25">
      <c r="A233" s="12">
        <v>85</v>
      </c>
      <c r="B233" s="11"/>
      <c r="C233" s="16" t="s">
        <v>7</v>
      </c>
      <c r="D233" s="14" t="s">
        <v>87</v>
      </c>
      <c r="E233" s="19">
        <f>19+5.9</f>
        <v>24.9</v>
      </c>
      <c r="F233" s="19"/>
      <c r="G233" s="61"/>
      <c r="H233" s="61"/>
      <c r="I233" s="61"/>
      <c r="J233" s="61"/>
    </row>
    <row r="234" spans="1:10" ht="12.6" customHeight="1" x14ac:dyDescent="0.25">
      <c r="A234" s="12">
        <v>86</v>
      </c>
      <c r="B234" s="11"/>
      <c r="C234" s="15" t="s">
        <v>6</v>
      </c>
      <c r="D234" s="14" t="s">
        <v>87</v>
      </c>
      <c r="E234" s="19">
        <v>16.100000000000001</v>
      </c>
      <c r="F234" s="19"/>
      <c r="G234" s="61"/>
      <c r="H234" s="61"/>
      <c r="I234" s="61"/>
      <c r="J234" s="61"/>
    </row>
    <row r="235" spans="1:10" ht="12.6" customHeight="1" x14ac:dyDescent="0.25">
      <c r="A235" s="12">
        <v>87</v>
      </c>
      <c r="B235" s="11"/>
      <c r="C235" s="15" t="s">
        <v>9</v>
      </c>
      <c r="D235" s="14" t="s">
        <v>87</v>
      </c>
      <c r="E235" s="19">
        <f>21-3-1.5</f>
        <v>16.5</v>
      </c>
      <c r="F235" s="19"/>
      <c r="G235" s="61"/>
      <c r="H235" s="61"/>
      <c r="I235" s="61"/>
      <c r="J235" s="61"/>
    </row>
    <row r="236" spans="1:10" ht="12.6" customHeight="1" x14ac:dyDescent="0.25">
      <c r="A236" s="12">
        <v>88</v>
      </c>
      <c r="B236" s="11"/>
      <c r="C236" s="16" t="s">
        <v>10</v>
      </c>
      <c r="D236" s="14" t="s">
        <v>87</v>
      </c>
      <c r="E236" s="19">
        <v>13</v>
      </c>
      <c r="F236" s="19"/>
      <c r="G236" s="61"/>
      <c r="H236" s="61"/>
      <c r="I236" s="61"/>
      <c r="J236" s="61"/>
    </row>
    <row r="237" spans="1:10" ht="12.6" customHeight="1" x14ac:dyDescent="0.25">
      <c r="A237" s="12">
        <v>89</v>
      </c>
      <c r="B237" s="11"/>
      <c r="C237" s="15" t="s">
        <v>12</v>
      </c>
      <c r="D237" s="14" t="s">
        <v>87</v>
      </c>
      <c r="E237" s="19">
        <f>13-2</f>
        <v>11</v>
      </c>
      <c r="F237" s="19"/>
      <c r="G237" s="61"/>
      <c r="H237" s="61"/>
      <c r="I237" s="61"/>
      <c r="J237" s="61"/>
    </row>
    <row r="238" spans="1:10" ht="12.6" customHeight="1" x14ac:dyDescent="0.25">
      <c r="A238" s="12">
        <v>90</v>
      </c>
      <c r="B238" s="11"/>
      <c r="C238" s="15" t="s">
        <v>11</v>
      </c>
      <c r="D238" s="14" t="s">
        <v>87</v>
      </c>
      <c r="E238" s="19">
        <v>10.6</v>
      </c>
      <c r="F238" s="19"/>
      <c r="G238" s="61"/>
      <c r="H238" s="61"/>
      <c r="I238" s="61"/>
      <c r="J238" s="61"/>
    </row>
    <row r="239" spans="1:10" ht="12.6" customHeight="1" x14ac:dyDescent="0.25">
      <c r="A239" s="12">
        <v>91</v>
      </c>
      <c r="B239" s="11"/>
      <c r="C239" s="15" t="s">
        <v>13</v>
      </c>
      <c r="D239" s="14" t="s">
        <v>87</v>
      </c>
      <c r="E239" s="19">
        <f>9.2+0.6</f>
        <v>9.7999999999999989</v>
      </c>
      <c r="F239" s="19"/>
      <c r="G239" s="61"/>
      <c r="H239" s="61"/>
      <c r="I239" s="61"/>
      <c r="J239" s="61"/>
    </row>
    <row r="240" spans="1:10" ht="12.6" customHeight="1" x14ac:dyDescent="0.25">
      <c r="A240" s="12">
        <v>92</v>
      </c>
      <c r="B240" s="1"/>
      <c r="C240" s="15" t="s">
        <v>14</v>
      </c>
      <c r="D240" s="14" t="s">
        <v>87</v>
      </c>
      <c r="E240" s="19">
        <v>18.899999999999999</v>
      </c>
      <c r="F240" s="19"/>
      <c r="G240" s="61"/>
      <c r="H240" s="61"/>
      <c r="I240" s="61"/>
      <c r="J240" s="61"/>
    </row>
    <row r="241" spans="1:12" ht="27" customHeight="1" x14ac:dyDescent="0.25">
      <c r="A241" s="12">
        <v>93</v>
      </c>
      <c r="B241" s="11" t="s">
        <v>90</v>
      </c>
      <c r="C241" s="17" t="s">
        <v>91</v>
      </c>
      <c r="D241" s="9"/>
      <c r="E241" s="42">
        <f>+E255+E256+E258+E257+E254+E259+E260+E262+E261+E263+E264+E242</f>
        <v>5396.5</v>
      </c>
      <c r="F241" s="42">
        <f>+F255+F256+F258+F257+F254+F259+F260+F262+F261+F263+F264+F242</f>
        <v>828.50000000000011</v>
      </c>
      <c r="G241" s="61"/>
      <c r="H241" s="61"/>
      <c r="I241" s="61"/>
      <c r="J241" s="61"/>
      <c r="L241" s="36"/>
    </row>
    <row r="242" spans="1:12" ht="12.6" customHeight="1" x14ac:dyDescent="0.25">
      <c r="A242" s="12">
        <v>94</v>
      </c>
      <c r="B242" s="1"/>
      <c r="C242" s="16" t="s">
        <v>184</v>
      </c>
      <c r="D242" s="14"/>
      <c r="E242" s="19">
        <f>+E243+E244+E245+E246+E247+E248+E249+E250</f>
        <v>2695</v>
      </c>
      <c r="F242" s="19">
        <f>+F243+F244+F245+F246+F247+F248+F249+F250</f>
        <v>0</v>
      </c>
      <c r="G242" s="61"/>
      <c r="H242" s="61"/>
      <c r="I242" s="61"/>
      <c r="J242" s="61"/>
    </row>
    <row r="243" spans="1:12" ht="12.6" customHeight="1" x14ac:dyDescent="0.25">
      <c r="A243" s="59" t="s">
        <v>787</v>
      </c>
      <c r="B243" s="1"/>
      <c r="C243" s="76" t="s">
        <v>3</v>
      </c>
      <c r="D243" s="1" t="s">
        <v>148</v>
      </c>
      <c r="E243" s="19">
        <f>22.5+20</f>
        <v>42.5</v>
      </c>
      <c r="F243" s="19"/>
      <c r="G243" s="61"/>
      <c r="H243" s="61"/>
      <c r="I243" s="61"/>
      <c r="J243" s="61"/>
    </row>
    <row r="244" spans="1:12" ht="27" customHeight="1" x14ac:dyDescent="0.25">
      <c r="A244" s="59" t="s">
        <v>788</v>
      </c>
      <c r="B244" s="1"/>
      <c r="C244" s="86" t="s">
        <v>287</v>
      </c>
      <c r="D244" s="89" t="s">
        <v>132</v>
      </c>
      <c r="E244" s="19">
        <v>368.2</v>
      </c>
      <c r="F244" s="19"/>
      <c r="G244" s="61"/>
      <c r="H244" s="61"/>
      <c r="I244" s="61"/>
      <c r="J244" s="61"/>
    </row>
    <row r="245" spans="1:12" ht="12.6" customHeight="1" x14ac:dyDescent="0.25">
      <c r="A245" s="59" t="s">
        <v>789</v>
      </c>
      <c r="B245" s="1"/>
      <c r="C245" s="86" t="s">
        <v>216</v>
      </c>
      <c r="D245" s="89" t="s">
        <v>93</v>
      </c>
      <c r="E245" s="19">
        <v>1720</v>
      </c>
      <c r="F245" s="19"/>
      <c r="G245" s="61"/>
      <c r="H245" s="61"/>
      <c r="I245" s="61"/>
      <c r="J245" s="61"/>
    </row>
    <row r="246" spans="1:12" ht="12.6" customHeight="1" x14ac:dyDescent="0.25">
      <c r="A246" s="59" t="s">
        <v>790</v>
      </c>
      <c r="B246" s="1"/>
      <c r="C246" s="86" t="s">
        <v>150</v>
      </c>
      <c r="D246" s="89" t="s">
        <v>93</v>
      </c>
      <c r="E246" s="19">
        <f>100-21+12</f>
        <v>91</v>
      </c>
      <c r="F246" s="19"/>
      <c r="G246" s="61"/>
      <c r="H246" s="61"/>
      <c r="I246" s="61"/>
      <c r="J246" s="61"/>
    </row>
    <row r="247" spans="1:12" ht="26.4" x14ac:dyDescent="0.25">
      <c r="A247" s="59" t="s">
        <v>791</v>
      </c>
      <c r="B247" s="1"/>
      <c r="C247" s="86" t="s">
        <v>658</v>
      </c>
      <c r="D247" s="89" t="s">
        <v>93</v>
      </c>
      <c r="E247" s="19">
        <v>27</v>
      </c>
      <c r="F247" s="19"/>
      <c r="G247" s="61"/>
      <c r="H247" s="61"/>
      <c r="I247" s="61"/>
      <c r="J247" s="61"/>
    </row>
    <row r="248" spans="1:12" ht="12.6" customHeight="1" x14ac:dyDescent="0.25">
      <c r="A248" s="59" t="s">
        <v>792</v>
      </c>
      <c r="B248" s="1"/>
      <c r="C248" s="86" t="s">
        <v>648</v>
      </c>
      <c r="D248" s="89" t="s">
        <v>93</v>
      </c>
      <c r="E248" s="19">
        <v>37</v>
      </c>
      <c r="F248" s="19"/>
      <c r="G248" s="61"/>
      <c r="H248" s="61"/>
      <c r="I248" s="61"/>
      <c r="J248" s="61"/>
    </row>
    <row r="249" spans="1:12" ht="26.4" x14ac:dyDescent="0.25">
      <c r="A249" s="59" t="s">
        <v>793</v>
      </c>
      <c r="B249" s="1"/>
      <c r="C249" s="86" t="s">
        <v>659</v>
      </c>
      <c r="D249" s="89" t="s">
        <v>93</v>
      </c>
      <c r="E249" s="19">
        <v>53</v>
      </c>
      <c r="F249" s="19"/>
      <c r="G249" s="61"/>
      <c r="H249" s="61"/>
      <c r="I249" s="61"/>
      <c r="J249" s="61"/>
    </row>
    <row r="250" spans="1:12" ht="41.4" x14ac:dyDescent="0.25">
      <c r="A250" s="59" t="s">
        <v>794</v>
      </c>
      <c r="B250" s="1"/>
      <c r="C250" s="64" t="s">
        <v>460</v>
      </c>
      <c r="D250" s="11"/>
      <c r="E250" s="65">
        <f>+E251+E252+E253</f>
        <v>356.3</v>
      </c>
      <c r="F250" s="65">
        <f>+F251+F252+F253</f>
        <v>0</v>
      </c>
      <c r="G250" s="61"/>
      <c r="H250" s="61"/>
      <c r="I250" s="61"/>
      <c r="J250" s="61"/>
    </row>
    <row r="251" spans="1:12" ht="12.6" customHeight="1" x14ac:dyDescent="0.25">
      <c r="A251" s="59" t="s">
        <v>795</v>
      </c>
      <c r="B251" s="1"/>
      <c r="C251" s="28" t="s">
        <v>193</v>
      </c>
      <c r="D251" s="1" t="s">
        <v>166</v>
      </c>
      <c r="E251" s="19">
        <f>100+130</f>
        <v>230</v>
      </c>
      <c r="F251" s="65"/>
      <c r="G251" s="61"/>
      <c r="H251" s="61"/>
      <c r="I251" s="61"/>
      <c r="J251" s="61"/>
    </row>
    <row r="252" spans="1:12" ht="26.4" x14ac:dyDescent="0.25">
      <c r="A252" s="59" t="s">
        <v>796</v>
      </c>
      <c r="B252" s="1"/>
      <c r="C252" s="67" t="s">
        <v>160</v>
      </c>
      <c r="D252" s="89" t="s">
        <v>93</v>
      </c>
      <c r="E252" s="32">
        <f>74.3+151-120</f>
        <v>105.30000000000001</v>
      </c>
      <c r="F252" s="19"/>
      <c r="G252" s="61"/>
      <c r="H252" s="61"/>
      <c r="I252" s="61"/>
      <c r="J252" s="61"/>
    </row>
    <row r="253" spans="1:12" ht="39.6" x14ac:dyDescent="0.25">
      <c r="A253" s="59" t="s">
        <v>797</v>
      </c>
      <c r="B253" s="1"/>
      <c r="C253" s="67" t="s">
        <v>217</v>
      </c>
      <c r="D253" s="1" t="s">
        <v>148</v>
      </c>
      <c r="E253" s="32">
        <v>21</v>
      </c>
      <c r="F253" s="19"/>
      <c r="G253" s="61"/>
      <c r="H253" s="61"/>
      <c r="I253" s="61"/>
      <c r="J253" s="61"/>
    </row>
    <row r="254" spans="1:12" ht="39.6" x14ac:dyDescent="0.25">
      <c r="A254" s="12">
        <v>95</v>
      </c>
      <c r="B254" s="1"/>
      <c r="C254" s="66" t="s">
        <v>8</v>
      </c>
      <c r="D254" s="88" t="s">
        <v>94</v>
      </c>
      <c r="E254" s="19">
        <f>1381.5+70+10+5+12.1+76.9+6.7+5.7</f>
        <v>1567.9</v>
      </c>
      <c r="F254" s="19">
        <f>161.8+14.4</f>
        <v>176.20000000000002</v>
      </c>
      <c r="G254" s="61"/>
      <c r="H254" s="61"/>
      <c r="I254" s="61"/>
      <c r="J254" s="61"/>
    </row>
    <row r="255" spans="1:12" ht="26.4" x14ac:dyDescent="0.25">
      <c r="A255" s="12">
        <v>96</v>
      </c>
      <c r="B255" s="1"/>
      <c r="C255" s="15" t="s">
        <v>4</v>
      </c>
      <c r="D255" s="88" t="s">
        <v>92</v>
      </c>
      <c r="E255" s="19">
        <f>142.7+4.5+1.8+2.7</f>
        <v>151.69999999999999</v>
      </c>
      <c r="F255" s="19">
        <f>85.7+2.7</f>
        <v>88.4</v>
      </c>
      <c r="G255" s="61"/>
      <c r="H255" s="61"/>
      <c r="I255" s="61"/>
      <c r="J255" s="61"/>
    </row>
    <row r="256" spans="1:12" ht="12.6" customHeight="1" x14ac:dyDescent="0.25">
      <c r="A256" s="12">
        <v>97</v>
      </c>
      <c r="B256" s="1"/>
      <c r="C256" s="15" t="s">
        <v>5</v>
      </c>
      <c r="D256" s="88" t="s">
        <v>93</v>
      </c>
      <c r="E256" s="19">
        <f>117.7+10+2.4+17+12.4-17+3</f>
        <v>145.5</v>
      </c>
      <c r="F256" s="19">
        <f>76.3+13.9</f>
        <v>90.2</v>
      </c>
      <c r="G256" s="61"/>
      <c r="H256" s="61"/>
      <c r="I256" s="61"/>
      <c r="J256" s="61"/>
    </row>
    <row r="257" spans="1:15" ht="24.9" customHeight="1" x14ac:dyDescent="0.25">
      <c r="A257" s="12">
        <v>98</v>
      </c>
      <c r="B257" s="1"/>
      <c r="C257" s="15" t="s">
        <v>7</v>
      </c>
      <c r="D257" s="88" t="s">
        <v>92</v>
      </c>
      <c r="E257" s="19">
        <f>94.6+3.3+2-0.4</f>
        <v>99.499999999999986</v>
      </c>
      <c r="F257" s="19">
        <f>58.4-12.5-0.4</f>
        <v>45.5</v>
      </c>
      <c r="G257" s="61"/>
      <c r="H257" s="61"/>
      <c r="I257" s="61"/>
      <c r="J257" s="61"/>
    </row>
    <row r="258" spans="1:15" ht="24.9" customHeight="1" x14ac:dyDescent="0.25">
      <c r="A258" s="12">
        <v>99</v>
      </c>
      <c r="B258" s="1"/>
      <c r="C258" s="66" t="s">
        <v>6</v>
      </c>
      <c r="D258" s="88" t="s">
        <v>92</v>
      </c>
      <c r="E258" s="19">
        <f>109.5+0.7+3.6+1.5</f>
        <v>115.3</v>
      </c>
      <c r="F258" s="19">
        <f>66.6+0.7-10.7</f>
        <v>56.599999999999994</v>
      </c>
      <c r="G258" s="61"/>
      <c r="H258" s="61"/>
      <c r="I258" s="61"/>
      <c r="J258" s="61"/>
      <c r="O258" s="61"/>
    </row>
    <row r="259" spans="1:15" ht="12.6" customHeight="1" x14ac:dyDescent="0.25">
      <c r="A259" s="12">
        <v>100</v>
      </c>
      <c r="B259" s="1"/>
      <c r="C259" s="15" t="s">
        <v>9</v>
      </c>
      <c r="D259" s="88" t="s">
        <v>95</v>
      </c>
      <c r="E259" s="19">
        <f>83.8+2.6+3.1+3.5+1.5</f>
        <v>94.499999999999986</v>
      </c>
      <c r="F259" s="19">
        <f>54.2-5.2</f>
        <v>49</v>
      </c>
      <c r="G259" s="61"/>
      <c r="H259" s="61"/>
      <c r="I259" s="61"/>
      <c r="J259" s="61"/>
      <c r="O259" s="61"/>
    </row>
    <row r="260" spans="1:15" ht="24.9" customHeight="1" x14ac:dyDescent="0.25">
      <c r="A260" s="12">
        <v>101</v>
      </c>
      <c r="B260" s="1"/>
      <c r="C260" s="16" t="s">
        <v>10</v>
      </c>
      <c r="D260" s="88" t="s">
        <v>92</v>
      </c>
      <c r="E260" s="19">
        <f>90.4+1.7</f>
        <v>92.100000000000009</v>
      </c>
      <c r="F260" s="19">
        <f>66.1-8.9</f>
        <v>57.199999999999996</v>
      </c>
      <c r="G260" s="61"/>
      <c r="H260" s="61"/>
      <c r="I260" s="61"/>
      <c r="J260" s="61"/>
    </row>
    <row r="261" spans="1:15" ht="24.9" customHeight="1" x14ac:dyDescent="0.25">
      <c r="A261" s="12">
        <v>102</v>
      </c>
      <c r="B261" s="1"/>
      <c r="C261" s="15" t="s">
        <v>12</v>
      </c>
      <c r="D261" s="88" t="s">
        <v>92</v>
      </c>
      <c r="E261" s="19">
        <f>56.3+1.9-0.8</f>
        <v>57.4</v>
      </c>
      <c r="F261" s="19">
        <f>35.6-0.8</f>
        <v>34.800000000000004</v>
      </c>
      <c r="G261" s="61"/>
      <c r="H261" s="61"/>
      <c r="I261" s="61"/>
      <c r="J261" s="61"/>
    </row>
    <row r="262" spans="1:15" ht="29.25" customHeight="1" x14ac:dyDescent="0.25">
      <c r="A262" s="12">
        <v>103</v>
      </c>
      <c r="B262" s="1"/>
      <c r="C262" s="66" t="s">
        <v>11</v>
      </c>
      <c r="D262" s="88" t="s">
        <v>92</v>
      </c>
      <c r="E262" s="19">
        <f>83+2.1-1.2</f>
        <v>83.899999999999991</v>
      </c>
      <c r="F262" s="19">
        <f>52-1.2</f>
        <v>50.8</v>
      </c>
      <c r="G262" s="61"/>
      <c r="H262" s="61"/>
      <c r="I262" s="61"/>
      <c r="J262" s="61"/>
    </row>
    <row r="263" spans="1:15" ht="27" customHeight="1" x14ac:dyDescent="0.25">
      <c r="A263" s="12">
        <v>104</v>
      </c>
      <c r="B263" s="1"/>
      <c r="C263" s="15" t="s">
        <v>13</v>
      </c>
      <c r="D263" s="88" t="s">
        <v>92</v>
      </c>
      <c r="E263" s="19">
        <f>83.1+2.6</f>
        <v>85.699999999999989</v>
      </c>
      <c r="F263" s="19">
        <f>48.3+3.8</f>
        <v>52.099999999999994</v>
      </c>
      <c r="G263" s="61"/>
      <c r="H263" s="61"/>
      <c r="I263" s="61"/>
      <c r="J263" s="61"/>
    </row>
    <row r="264" spans="1:15" ht="24.9" customHeight="1" x14ac:dyDescent="0.25">
      <c r="A264" s="12">
        <v>105</v>
      </c>
      <c r="B264" s="1"/>
      <c r="C264" s="15" t="s">
        <v>14</v>
      </c>
      <c r="D264" s="88" t="s">
        <v>92</v>
      </c>
      <c r="E264" s="19">
        <f>198.9+4.3+10.1-6.6+1.3</f>
        <v>208.00000000000003</v>
      </c>
      <c r="F264" s="19">
        <f>134.3-6.6</f>
        <v>127.70000000000002</v>
      </c>
      <c r="G264" s="61"/>
      <c r="H264" s="61"/>
      <c r="I264" s="61"/>
      <c r="J264" s="61"/>
    </row>
    <row r="265" spans="1:15" x14ac:dyDescent="0.25">
      <c r="A265" s="12">
        <v>106</v>
      </c>
      <c r="B265" s="11" t="s">
        <v>32</v>
      </c>
      <c r="C265" s="17" t="s">
        <v>33</v>
      </c>
      <c r="D265" s="88"/>
      <c r="E265" s="65">
        <f>+E266</f>
        <v>142</v>
      </c>
      <c r="F265" s="42">
        <f>+F266</f>
        <v>0</v>
      </c>
      <c r="G265" s="61"/>
      <c r="H265" s="61"/>
      <c r="I265" s="61"/>
      <c r="J265" s="61"/>
    </row>
    <row r="266" spans="1:15" ht="12.6" customHeight="1" x14ac:dyDescent="0.25">
      <c r="A266" s="12">
        <v>107</v>
      </c>
      <c r="B266" s="11"/>
      <c r="C266" s="16" t="s">
        <v>200</v>
      </c>
      <c r="D266" s="88"/>
      <c r="E266" s="19">
        <f>+E268+E267</f>
        <v>142</v>
      </c>
      <c r="F266" s="19">
        <f>+F268+F267</f>
        <v>0</v>
      </c>
      <c r="G266" s="61"/>
      <c r="H266" s="61"/>
      <c r="I266" s="61"/>
      <c r="J266" s="61"/>
    </row>
    <row r="267" spans="1:15" ht="12.6" customHeight="1" x14ac:dyDescent="0.25">
      <c r="A267" s="12" t="s">
        <v>798</v>
      </c>
      <c r="B267" s="11"/>
      <c r="C267" s="16" t="s">
        <v>100</v>
      </c>
      <c r="D267" s="88"/>
      <c r="E267" s="19">
        <v>3</v>
      </c>
      <c r="F267" s="19"/>
      <c r="G267" s="61"/>
      <c r="H267" s="61"/>
      <c r="I267" s="61"/>
      <c r="J267" s="61"/>
    </row>
    <row r="268" spans="1:15" ht="41.4" x14ac:dyDescent="0.25">
      <c r="A268" s="59" t="s">
        <v>799</v>
      </c>
      <c r="B268" s="1"/>
      <c r="C268" s="64" t="s">
        <v>460</v>
      </c>
      <c r="D268" s="77"/>
      <c r="E268" s="65">
        <f>+E269+E270</f>
        <v>139</v>
      </c>
      <c r="F268" s="65">
        <f>+F269+F270</f>
        <v>0</v>
      </c>
      <c r="G268" s="61"/>
      <c r="H268" s="61"/>
      <c r="I268" s="61"/>
      <c r="J268" s="61"/>
    </row>
    <row r="269" spans="1:15" ht="26.4" x14ac:dyDescent="0.25">
      <c r="A269" s="73" t="s">
        <v>800</v>
      </c>
      <c r="B269" s="1"/>
      <c r="C269" s="15" t="s">
        <v>218</v>
      </c>
      <c r="D269" s="88" t="s">
        <v>149</v>
      </c>
      <c r="E269" s="19">
        <f>40+20+40+25</f>
        <v>125</v>
      </c>
      <c r="F269" s="19"/>
      <c r="G269" s="61"/>
      <c r="H269" s="61"/>
      <c r="I269" s="61"/>
      <c r="J269" s="61"/>
      <c r="O269" s="61"/>
    </row>
    <row r="270" spans="1:15" x14ac:dyDescent="0.25">
      <c r="A270" s="73" t="s">
        <v>801</v>
      </c>
      <c r="B270" s="1"/>
      <c r="C270" s="15" t="s">
        <v>492</v>
      </c>
      <c r="D270" s="14" t="s">
        <v>261</v>
      </c>
      <c r="E270" s="19">
        <f>10+4</f>
        <v>14</v>
      </c>
      <c r="F270" s="19"/>
      <c r="G270" s="61"/>
      <c r="H270" s="61"/>
      <c r="I270" s="61"/>
      <c r="J270" s="61"/>
      <c r="M270" s="78"/>
    </row>
    <row r="271" spans="1:15" x14ac:dyDescent="0.25">
      <c r="A271" s="12">
        <v>108</v>
      </c>
      <c r="B271" s="11" t="s">
        <v>96</v>
      </c>
      <c r="C271" s="17" t="s">
        <v>97</v>
      </c>
      <c r="D271" s="9"/>
      <c r="E271" s="42">
        <f>+E272</f>
        <v>109</v>
      </c>
      <c r="F271" s="42">
        <f>+F272</f>
        <v>0</v>
      </c>
      <c r="G271" s="61"/>
      <c r="H271" s="61"/>
      <c r="I271" s="61"/>
      <c r="J271" s="61"/>
    </row>
    <row r="272" spans="1:15" ht="12.6" customHeight="1" x14ac:dyDescent="0.25">
      <c r="A272" s="12">
        <v>109</v>
      </c>
      <c r="B272" s="11"/>
      <c r="C272" s="16" t="s">
        <v>184</v>
      </c>
      <c r="D272" s="9"/>
      <c r="E272" s="19">
        <f>+E274+E275+E273</f>
        <v>109</v>
      </c>
      <c r="F272" s="19">
        <f>+F274+F275+F273</f>
        <v>0</v>
      </c>
      <c r="G272" s="61"/>
      <c r="H272" s="61"/>
      <c r="I272" s="61"/>
      <c r="J272" s="61"/>
    </row>
    <row r="273" spans="1:15" ht="12.6" customHeight="1" x14ac:dyDescent="0.25">
      <c r="A273" s="73" t="s">
        <v>802</v>
      </c>
      <c r="B273" s="11"/>
      <c r="C273" s="66" t="s">
        <v>100</v>
      </c>
      <c r="D273" s="14" t="s">
        <v>596</v>
      </c>
      <c r="E273" s="19">
        <v>3</v>
      </c>
      <c r="F273" s="19"/>
      <c r="G273" s="61"/>
      <c r="H273" s="61"/>
      <c r="I273" s="61"/>
      <c r="J273" s="61"/>
    </row>
    <row r="274" spans="1:15" ht="26.4" x14ac:dyDescent="0.25">
      <c r="A274" s="73" t="s">
        <v>803</v>
      </c>
      <c r="B274" s="1"/>
      <c r="C274" s="66" t="s">
        <v>219</v>
      </c>
      <c r="D274" s="14" t="s">
        <v>98</v>
      </c>
      <c r="E274" s="19">
        <v>36</v>
      </c>
      <c r="F274" s="19"/>
      <c r="G274" s="61"/>
      <c r="H274" s="61"/>
      <c r="I274" s="61"/>
      <c r="J274" s="61"/>
    </row>
    <row r="275" spans="1:15" ht="39.6" x14ac:dyDescent="0.25">
      <c r="A275" s="73" t="s">
        <v>804</v>
      </c>
      <c r="B275" s="1"/>
      <c r="C275" s="66" t="s">
        <v>493</v>
      </c>
      <c r="D275" s="14" t="s">
        <v>98</v>
      </c>
      <c r="E275" s="19">
        <v>70</v>
      </c>
      <c r="F275" s="19"/>
      <c r="G275" s="61"/>
      <c r="H275" s="61"/>
      <c r="I275" s="61"/>
      <c r="J275" s="61"/>
    </row>
    <row r="276" spans="1:15" x14ac:dyDescent="0.25">
      <c r="A276" s="12">
        <v>110</v>
      </c>
      <c r="B276" s="11" t="s">
        <v>25</v>
      </c>
      <c r="C276" s="17" t="s">
        <v>26</v>
      </c>
      <c r="D276" s="9"/>
      <c r="E276" s="42">
        <f>+E277+E278+E279+E289+E291+E293+E294+E296+E298+E300+E301+E303+E304+E306</f>
        <v>7197.0000000000018</v>
      </c>
      <c r="F276" s="42">
        <f>+F277+F278+F279+F289+F291+F293+F294+F296+F298+F300+F301+F303+F304+F306</f>
        <v>3945.6000000000008</v>
      </c>
      <c r="G276" s="61"/>
      <c r="H276" s="61"/>
      <c r="I276" s="61"/>
      <c r="J276" s="61"/>
      <c r="L276" s="36"/>
    </row>
    <row r="277" spans="1:15" x14ac:dyDescent="0.25">
      <c r="A277" s="12">
        <v>111</v>
      </c>
      <c r="B277" s="11"/>
      <c r="C277" s="15" t="s">
        <v>27</v>
      </c>
      <c r="D277" s="14" t="s">
        <v>28</v>
      </c>
      <c r="E277" s="19">
        <f>78.6+0.4</f>
        <v>79</v>
      </c>
      <c r="F277" s="19">
        <v>11.9</v>
      </c>
      <c r="G277" s="61"/>
      <c r="H277" s="61"/>
      <c r="I277" s="61"/>
      <c r="J277" s="61"/>
    </row>
    <row r="278" spans="1:15" x14ac:dyDescent="0.25">
      <c r="A278" s="12">
        <v>112</v>
      </c>
      <c r="B278" s="11"/>
      <c r="C278" s="16" t="s">
        <v>99</v>
      </c>
      <c r="D278" s="14" t="s">
        <v>111</v>
      </c>
      <c r="E278" s="19">
        <f>153.5+0.6</f>
        <v>154.1</v>
      </c>
      <c r="F278" s="19">
        <f>140.8+1</f>
        <v>141.80000000000001</v>
      </c>
      <c r="G278" s="61"/>
      <c r="H278" s="61"/>
      <c r="I278" s="61"/>
      <c r="J278" s="61"/>
    </row>
    <row r="279" spans="1:15" x14ac:dyDescent="0.25">
      <c r="A279" s="12">
        <v>113</v>
      </c>
      <c r="B279" s="11"/>
      <c r="C279" s="16" t="s">
        <v>184</v>
      </c>
      <c r="D279" s="14"/>
      <c r="E279" s="19">
        <f>+E280+E281+E282+E283+E284+E285+E286+E287+E288</f>
        <v>5736.8000000000011</v>
      </c>
      <c r="F279" s="19">
        <f>+F280+F281+F282+F283+F284+F285+F286+F287+F288</f>
        <v>2958.6000000000004</v>
      </c>
      <c r="G279" s="61"/>
      <c r="H279" s="61"/>
      <c r="I279" s="61"/>
      <c r="J279" s="61"/>
    </row>
    <row r="280" spans="1:15" ht="92.4" x14ac:dyDescent="0.25">
      <c r="A280" s="73" t="s">
        <v>805</v>
      </c>
      <c r="B280" s="11"/>
      <c r="C280" s="16" t="s">
        <v>100</v>
      </c>
      <c r="D280" s="14" t="s">
        <v>131</v>
      </c>
      <c r="E280" s="19">
        <f>4718.8-18.5-18.3-10-3-74.5+1.1+23+9.6+81.2-98.8-13.7-0.5-5</f>
        <v>4591.4000000000005</v>
      </c>
      <c r="F280" s="19">
        <f>2872.3-18.2-18+9.5+113</f>
        <v>2958.6000000000004</v>
      </c>
      <c r="G280" s="61"/>
      <c r="H280" s="61"/>
      <c r="I280" s="61"/>
      <c r="J280" s="61"/>
    </row>
    <row r="281" spans="1:15" ht="26.4" x14ac:dyDescent="0.25">
      <c r="A281" s="73" t="s">
        <v>806</v>
      </c>
      <c r="B281" s="1"/>
      <c r="C281" s="66" t="s">
        <v>151</v>
      </c>
      <c r="D281" s="14" t="s">
        <v>122</v>
      </c>
      <c r="E281" s="19">
        <v>55</v>
      </c>
      <c r="F281" s="19"/>
      <c r="G281" s="61"/>
      <c r="H281" s="61"/>
      <c r="I281" s="61"/>
      <c r="J281" s="61"/>
    </row>
    <row r="282" spans="1:15" ht="12.6" customHeight="1" x14ac:dyDescent="0.25">
      <c r="A282" s="73" t="s">
        <v>807</v>
      </c>
      <c r="B282" s="1"/>
      <c r="C282" s="66" t="s">
        <v>495</v>
      </c>
      <c r="D282" s="14" t="s">
        <v>38</v>
      </c>
      <c r="E282" s="19">
        <v>30</v>
      </c>
      <c r="F282" s="19"/>
      <c r="G282" s="61"/>
      <c r="H282" s="61"/>
      <c r="I282" s="61"/>
      <c r="J282" s="61"/>
    </row>
    <row r="283" spans="1:15" x14ac:dyDescent="0.25">
      <c r="A283" s="73" t="s">
        <v>808</v>
      </c>
      <c r="B283" s="1"/>
      <c r="C283" s="66" t="s">
        <v>494</v>
      </c>
      <c r="D283" s="14" t="s">
        <v>102</v>
      </c>
      <c r="E283" s="19">
        <f>800+100.3</f>
        <v>900.3</v>
      </c>
      <c r="F283" s="19"/>
      <c r="G283" s="61"/>
      <c r="H283" s="61"/>
      <c r="I283" s="61"/>
      <c r="J283" s="61"/>
    </row>
    <row r="284" spans="1:15" x14ac:dyDescent="0.25">
      <c r="A284" s="73" t="s">
        <v>809</v>
      </c>
      <c r="B284" s="1"/>
      <c r="C284" s="66" t="s">
        <v>229</v>
      </c>
      <c r="D284" s="14" t="s">
        <v>38</v>
      </c>
      <c r="E284" s="19">
        <v>15</v>
      </c>
      <c r="F284" s="19"/>
      <c r="G284" s="61"/>
      <c r="H284" s="61"/>
      <c r="I284" s="61"/>
      <c r="J284" s="61"/>
    </row>
    <row r="285" spans="1:15" ht="26.4" x14ac:dyDescent="0.25">
      <c r="A285" s="73" t="s">
        <v>810</v>
      </c>
      <c r="B285" s="1"/>
      <c r="C285" s="66" t="s">
        <v>194</v>
      </c>
      <c r="D285" s="14" t="s">
        <v>101</v>
      </c>
      <c r="E285" s="19">
        <f>25-23</f>
        <v>2</v>
      </c>
      <c r="F285" s="19"/>
      <c r="G285" s="61"/>
      <c r="H285" s="61"/>
      <c r="I285" s="61"/>
      <c r="J285" s="61"/>
      <c r="O285" s="61"/>
    </row>
    <row r="286" spans="1:15" ht="12.6" customHeight="1" x14ac:dyDescent="0.25">
      <c r="A286" s="73" t="s">
        <v>811</v>
      </c>
      <c r="B286" s="1"/>
      <c r="C286" s="66" t="s">
        <v>221</v>
      </c>
      <c r="D286" s="14" t="s">
        <v>103</v>
      </c>
      <c r="E286" s="19">
        <v>95</v>
      </c>
      <c r="F286" s="19"/>
      <c r="G286" s="61"/>
      <c r="H286" s="61"/>
      <c r="I286" s="61"/>
      <c r="J286" s="61"/>
    </row>
    <row r="287" spans="1:15" ht="12.6" customHeight="1" x14ac:dyDescent="0.25">
      <c r="A287" s="73" t="s">
        <v>812</v>
      </c>
      <c r="B287" s="1"/>
      <c r="C287" s="66" t="s">
        <v>363</v>
      </c>
      <c r="D287" s="14" t="s">
        <v>378</v>
      </c>
      <c r="E287" s="19">
        <v>48.1</v>
      </c>
      <c r="F287" s="19"/>
      <c r="G287" s="61"/>
      <c r="H287" s="61"/>
      <c r="I287" s="61"/>
      <c r="J287" s="61"/>
    </row>
    <row r="288" spans="1:15" ht="39.6" x14ac:dyDescent="0.25">
      <c r="A288" s="73" t="s">
        <v>813</v>
      </c>
      <c r="B288" s="31"/>
      <c r="C288" s="66" t="s">
        <v>673</v>
      </c>
      <c r="D288" s="14" t="s">
        <v>621</v>
      </c>
      <c r="E288" s="19">
        <f>295.8-20-40-235.8</f>
        <v>0</v>
      </c>
      <c r="F288" s="19"/>
      <c r="G288" s="61"/>
      <c r="H288" s="61"/>
      <c r="I288" s="61"/>
      <c r="J288" s="61"/>
    </row>
    <row r="289" spans="1:14" ht="25.5" customHeight="1" x14ac:dyDescent="0.25">
      <c r="A289" s="177">
        <v>114</v>
      </c>
      <c r="B289" s="179"/>
      <c r="C289" s="15" t="s">
        <v>8</v>
      </c>
      <c r="D289" s="14" t="s">
        <v>367</v>
      </c>
      <c r="E289" s="19">
        <f>+E290+166.5+1.6+1.1</f>
        <v>188.39999999999998</v>
      </c>
      <c r="F289" s="19">
        <f>+F290+131.9</f>
        <v>150.80000000000001</v>
      </c>
      <c r="G289" s="61"/>
      <c r="H289" s="61"/>
      <c r="I289" s="61"/>
      <c r="J289" s="61"/>
    </row>
    <row r="290" spans="1:14" x14ac:dyDescent="0.25">
      <c r="A290" s="178"/>
      <c r="B290" s="180"/>
      <c r="C290" s="15" t="s">
        <v>366</v>
      </c>
      <c r="D290" s="14" t="s">
        <v>39</v>
      </c>
      <c r="E290" s="19">
        <v>19.2</v>
      </c>
      <c r="F290" s="19">
        <v>18.899999999999999</v>
      </c>
      <c r="G290" s="61"/>
      <c r="H290" s="61"/>
      <c r="I290" s="61"/>
      <c r="J290" s="61"/>
    </row>
    <row r="291" spans="1:14" ht="26.4" x14ac:dyDescent="0.25">
      <c r="A291" s="177">
        <v>115</v>
      </c>
      <c r="B291" s="179"/>
      <c r="C291" s="15" t="s">
        <v>4</v>
      </c>
      <c r="D291" s="14" t="s">
        <v>367</v>
      </c>
      <c r="E291" s="19">
        <f>+E292+57.6+1.2+5+1.7</f>
        <v>68.7</v>
      </c>
      <c r="F291" s="19">
        <f>+F292+47.9+1.3</f>
        <v>52.4</v>
      </c>
      <c r="G291" s="61"/>
      <c r="H291" s="61"/>
      <c r="I291" s="61"/>
      <c r="J291" s="61"/>
    </row>
    <row r="292" spans="1:14" x14ac:dyDescent="0.25">
      <c r="A292" s="178"/>
      <c r="B292" s="180"/>
      <c r="C292" s="15" t="s">
        <v>366</v>
      </c>
      <c r="D292" s="14" t="s">
        <v>39</v>
      </c>
      <c r="E292" s="19">
        <v>3.2</v>
      </c>
      <c r="F292" s="19">
        <v>3.2</v>
      </c>
      <c r="G292" s="61"/>
      <c r="H292" s="61"/>
      <c r="I292" s="61"/>
      <c r="J292" s="61"/>
    </row>
    <row r="293" spans="1:14" ht="26.4" x14ac:dyDescent="0.25">
      <c r="A293" s="63">
        <v>116</v>
      </c>
      <c r="B293" s="31"/>
      <c r="C293" s="15" t="s">
        <v>5</v>
      </c>
      <c r="D293" s="14" t="s">
        <v>367</v>
      </c>
      <c r="E293" s="19">
        <f>104.6+3.3+5+3-10.2</f>
        <v>105.69999999999999</v>
      </c>
      <c r="F293" s="19">
        <f>71.1-10.2</f>
        <v>60.899999999999991</v>
      </c>
      <c r="G293" s="61"/>
      <c r="H293" s="61"/>
      <c r="I293" s="61"/>
      <c r="J293" s="61"/>
    </row>
    <row r="294" spans="1:14" ht="26.4" x14ac:dyDescent="0.25">
      <c r="A294" s="177">
        <v>117</v>
      </c>
      <c r="B294" s="179"/>
      <c r="C294" s="15" t="s">
        <v>7</v>
      </c>
      <c r="D294" s="14" t="s">
        <v>367</v>
      </c>
      <c r="E294" s="19">
        <f>+E295+78+1.9+12-1.9-5.2</f>
        <v>91.2</v>
      </c>
      <c r="F294" s="19">
        <f>+F295+56.2-2.2-0.2</f>
        <v>60.099999999999994</v>
      </c>
      <c r="G294" s="61"/>
      <c r="H294" s="61"/>
      <c r="I294" s="61"/>
      <c r="J294" s="61"/>
    </row>
    <row r="295" spans="1:14" x14ac:dyDescent="0.25">
      <c r="A295" s="178"/>
      <c r="B295" s="180"/>
      <c r="C295" s="15" t="s">
        <v>366</v>
      </c>
      <c r="D295" s="14" t="s">
        <v>39</v>
      </c>
      <c r="E295" s="19">
        <v>6.4</v>
      </c>
      <c r="F295" s="19">
        <v>6.3</v>
      </c>
      <c r="G295" s="61"/>
      <c r="H295" s="61"/>
      <c r="I295" s="61"/>
      <c r="J295" s="61"/>
    </row>
    <row r="296" spans="1:14" ht="26.4" x14ac:dyDescent="0.25">
      <c r="A296" s="177">
        <v>118</v>
      </c>
      <c r="B296" s="179"/>
      <c r="C296" s="15" t="s">
        <v>6</v>
      </c>
      <c r="D296" s="14" t="s">
        <v>367</v>
      </c>
      <c r="E296" s="19">
        <f>+E297+68.3+1.3+2+1</f>
        <v>75.8</v>
      </c>
      <c r="F296" s="19">
        <f>+F297+55.2+0.7</f>
        <v>59.100000000000009</v>
      </c>
      <c r="G296" s="61"/>
      <c r="H296" s="61"/>
      <c r="I296" s="61"/>
      <c r="J296" s="61"/>
    </row>
    <row r="297" spans="1:14" x14ac:dyDescent="0.25">
      <c r="A297" s="178"/>
      <c r="B297" s="180"/>
      <c r="C297" s="15" t="s">
        <v>366</v>
      </c>
      <c r="D297" s="14" t="s">
        <v>39</v>
      </c>
      <c r="E297" s="19">
        <v>3.2</v>
      </c>
      <c r="F297" s="19">
        <v>3.2</v>
      </c>
      <c r="G297" s="61"/>
      <c r="H297" s="61"/>
      <c r="I297" s="61"/>
      <c r="J297" s="61"/>
    </row>
    <row r="298" spans="1:14" ht="26.4" x14ac:dyDescent="0.25">
      <c r="A298" s="177">
        <v>119</v>
      </c>
      <c r="B298" s="179"/>
      <c r="C298" s="15" t="s">
        <v>9</v>
      </c>
      <c r="D298" s="14" t="s">
        <v>367</v>
      </c>
      <c r="E298" s="19">
        <f>+E299+82.9-2.6+1.8+1.7-0.6</f>
        <v>89.600000000000023</v>
      </c>
      <c r="F298" s="19">
        <f>+F299+61.6+1.4</f>
        <v>69.300000000000011</v>
      </c>
      <c r="G298" s="61"/>
      <c r="H298" s="61"/>
      <c r="I298" s="61"/>
      <c r="J298" s="61"/>
      <c r="N298" s="61"/>
    </row>
    <row r="299" spans="1:14" x14ac:dyDescent="0.25">
      <c r="A299" s="178"/>
      <c r="B299" s="180"/>
      <c r="C299" s="15" t="s">
        <v>366</v>
      </c>
      <c r="D299" s="14" t="s">
        <v>39</v>
      </c>
      <c r="E299" s="19">
        <v>6.4</v>
      </c>
      <c r="F299" s="19">
        <v>6.3</v>
      </c>
      <c r="G299" s="61"/>
      <c r="H299" s="61"/>
      <c r="I299" s="61"/>
      <c r="J299" s="61"/>
    </row>
    <row r="300" spans="1:14" ht="26.4" x14ac:dyDescent="0.25">
      <c r="A300" s="63">
        <v>120</v>
      </c>
      <c r="B300" s="31"/>
      <c r="C300" s="16" t="s">
        <v>10</v>
      </c>
      <c r="D300" s="14" t="s">
        <v>367</v>
      </c>
      <c r="E300" s="19">
        <f>139.6+4.1+7.1</f>
        <v>150.79999999999998</v>
      </c>
      <c r="F300" s="19">
        <f>91</f>
        <v>91</v>
      </c>
      <c r="G300" s="61"/>
      <c r="H300" s="61"/>
      <c r="I300" s="61"/>
      <c r="J300" s="61"/>
    </row>
    <row r="301" spans="1:14" ht="26.4" x14ac:dyDescent="0.25">
      <c r="A301" s="177">
        <v>121</v>
      </c>
      <c r="B301" s="179"/>
      <c r="C301" s="15" t="s">
        <v>12</v>
      </c>
      <c r="D301" s="14" t="s">
        <v>367</v>
      </c>
      <c r="E301" s="19">
        <f>+E302+77.8+1.5+9.9+4.3</f>
        <v>96.7</v>
      </c>
      <c r="F301" s="19">
        <f>+F302+61.2-5</f>
        <v>59.400000000000006</v>
      </c>
      <c r="G301" s="61"/>
      <c r="H301" s="61"/>
      <c r="I301" s="61"/>
      <c r="J301" s="61"/>
    </row>
    <row r="302" spans="1:14" x14ac:dyDescent="0.25">
      <c r="A302" s="178"/>
      <c r="B302" s="180"/>
      <c r="C302" s="15" t="s">
        <v>366</v>
      </c>
      <c r="D302" s="14" t="s">
        <v>39</v>
      </c>
      <c r="E302" s="19">
        <v>3.2</v>
      </c>
      <c r="F302" s="19">
        <v>3.2</v>
      </c>
      <c r="G302" s="61"/>
      <c r="H302" s="61"/>
      <c r="I302" s="61"/>
      <c r="J302" s="61"/>
    </row>
    <row r="303" spans="1:14" ht="26.4" x14ac:dyDescent="0.25">
      <c r="A303" s="63">
        <v>122</v>
      </c>
      <c r="B303" s="31"/>
      <c r="C303" s="15" t="s">
        <v>11</v>
      </c>
      <c r="D303" s="14" t="s">
        <v>367</v>
      </c>
      <c r="E303" s="19">
        <f>95.4+2.6+2.5+5</f>
        <v>105.5</v>
      </c>
      <c r="F303" s="19">
        <f>67.1+5</f>
        <v>72.099999999999994</v>
      </c>
      <c r="G303" s="61"/>
      <c r="H303" s="61"/>
      <c r="I303" s="61"/>
      <c r="J303" s="61"/>
    </row>
    <row r="304" spans="1:14" ht="26.4" x14ac:dyDescent="0.25">
      <c r="A304" s="177">
        <v>123</v>
      </c>
      <c r="B304" s="179"/>
      <c r="C304" s="15" t="s">
        <v>13</v>
      </c>
      <c r="D304" s="14" t="s">
        <v>367</v>
      </c>
      <c r="E304" s="19">
        <f>+E305+92+1.8+2.6</f>
        <v>99.6</v>
      </c>
      <c r="F304" s="19">
        <f>+F305+63.6+0.5</f>
        <v>67.3</v>
      </c>
      <c r="G304" s="61"/>
      <c r="H304" s="61"/>
      <c r="I304" s="61"/>
      <c r="J304" s="61"/>
    </row>
    <row r="305" spans="1:15" x14ac:dyDescent="0.25">
      <c r="A305" s="178"/>
      <c r="B305" s="180"/>
      <c r="C305" s="15" t="s">
        <v>366</v>
      </c>
      <c r="D305" s="14" t="s">
        <v>39</v>
      </c>
      <c r="E305" s="19">
        <v>3.2</v>
      </c>
      <c r="F305" s="19">
        <v>3.2</v>
      </c>
      <c r="G305" s="61"/>
      <c r="H305" s="61"/>
      <c r="I305" s="61"/>
      <c r="J305" s="61"/>
    </row>
    <row r="306" spans="1:15" ht="26.4" x14ac:dyDescent="0.25">
      <c r="A306" s="177">
        <v>124</v>
      </c>
      <c r="B306" s="179"/>
      <c r="C306" s="15" t="s">
        <v>14</v>
      </c>
      <c r="D306" s="14" t="s">
        <v>367</v>
      </c>
      <c r="E306" s="19">
        <f>+E307+137.9+5.3+5.5</f>
        <v>155.10000000000002</v>
      </c>
      <c r="F306" s="19">
        <f>+F307+79.1+5.5</f>
        <v>90.899999999999991</v>
      </c>
      <c r="G306" s="61"/>
      <c r="H306" s="61"/>
      <c r="I306" s="61"/>
      <c r="J306" s="61"/>
    </row>
    <row r="307" spans="1:15" x14ac:dyDescent="0.25">
      <c r="A307" s="178"/>
      <c r="B307" s="180"/>
      <c r="C307" s="15" t="s">
        <v>366</v>
      </c>
      <c r="D307" s="14" t="s">
        <v>39</v>
      </c>
      <c r="E307" s="19">
        <v>6.4</v>
      </c>
      <c r="F307" s="19">
        <v>6.3</v>
      </c>
      <c r="G307" s="61"/>
      <c r="H307" s="61"/>
      <c r="I307" s="61"/>
      <c r="J307" s="61"/>
    </row>
    <row r="308" spans="1:15" ht="13.8" x14ac:dyDescent="0.25">
      <c r="A308" s="12">
        <v>125</v>
      </c>
      <c r="B308" s="1"/>
      <c r="C308" s="79" t="s">
        <v>20</v>
      </c>
      <c r="D308" s="1"/>
      <c r="E308" s="65">
        <f>+E10+E59+E84+E122+E148+E172+E193+E241+E265+E271+E276</f>
        <v>45114.499999999993</v>
      </c>
      <c r="F308" s="65">
        <f>+F10+F59+F84+F122+F148+F172+F193+F241+F265+F271+F276</f>
        <v>20419.500000000004</v>
      </c>
      <c r="G308" s="4"/>
      <c r="H308" s="4"/>
      <c r="I308" s="4"/>
      <c r="J308" s="4"/>
      <c r="K308" s="4"/>
      <c r="L308" s="4"/>
      <c r="M308" s="4"/>
      <c r="N308" s="4"/>
      <c r="O308" s="4"/>
    </row>
    <row r="309" spans="1:15" x14ac:dyDescent="0.25">
      <c r="C309" s="5"/>
      <c r="F309" s="46"/>
    </row>
    <row r="310" spans="1:15" x14ac:dyDescent="0.25">
      <c r="A310" s="2" t="s">
        <v>234</v>
      </c>
      <c r="B310" s="2"/>
      <c r="C310" s="2"/>
      <c r="D310" s="2"/>
      <c r="E310" s="2"/>
      <c r="F310" s="2"/>
    </row>
    <row r="311" spans="1:15" x14ac:dyDescent="0.25">
      <c r="C311" s="80"/>
      <c r="E311" s="46"/>
      <c r="F311" s="46"/>
    </row>
    <row r="312" spans="1:15" x14ac:dyDescent="0.25">
      <c r="C312" s="5"/>
      <c r="E312" s="46"/>
      <c r="F312" s="46"/>
    </row>
    <row r="313" spans="1:15" x14ac:dyDescent="0.25">
      <c r="C313" s="5"/>
      <c r="E313" s="36"/>
      <c r="F313" s="36"/>
    </row>
    <row r="314" spans="1:15" x14ac:dyDescent="0.25">
      <c r="C314" s="5"/>
      <c r="E314" s="2"/>
    </row>
    <row r="315" spans="1:15" x14ac:dyDescent="0.25">
      <c r="C315" s="5"/>
      <c r="E315" s="47"/>
      <c r="G315" s="4"/>
    </row>
    <row r="316" spans="1:15" x14ac:dyDescent="0.25">
      <c r="C316" s="5"/>
      <c r="H316" s="36"/>
    </row>
    <row r="317" spans="1:15" x14ac:dyDescent="0.25">
      <c r="C317" s="5"/>
      <c r="E317" s="81"/>
      <c r="F317" s="50"/>
    </row>
    <row r="318" spans="1:15" x14ac:dyDescent="0.25">
      <c r="C318" s="5"/>
      <c r="D318" s="82"/>
      <c r="F318" s="46"/>
    </row>
    <row r="319" spans="1:15" x14ac:dyDescent="0.25">
      <c r="C319" s="5"/>
      <c r="D319" s="82"/>
      <c r="E319" s="47"/>
      <c r="F319" s="46"/>
    </row>
    <row r="320" spans="1:15" x14ac:dyDescent="0.25">
      <c r="C320" s="5"/>
      <c r="D320" s="82"/>
      <c r="E320" s="47"/>
      <c r="F320" s="46"/>
    </row>
    <row r="321" spans="3:8" x14ac:dyDescent="0.25">
      <c r="C321" s="5"/>
      <c r="D321" s="82"/>
    </row>
    <row r="322" spans="3:8" x14ac:dyDescent="0.25">
      <c r="C322" s="80"/>
      <c r="E322" s="46"/>
      <c r="H322" s="36"/>
    </row>
    <row r="323" spans="3:8" x14ac:dyDescent="0.25">
      <c r="E323" s="56"/>
      <c r="F323" s="56"/>
    </row>
    <row r="324" spans="3:8" x14ac:dyDescent="0.25">
      <c r="E324" s="46"/>
      <c r="H324" s="36"/>
    </row>
    <row r="325" spans="3:8" x14ac:dyDescent="0.25">
      <c r="E325" s="46"/>
    </row>
    <row r="326" spans="3:8" x14ac:dyDescent="0.25">
      <c r="E326" s="46"/>
    </row>
    <row r="328" spans="3:8" x14ac:dyDescent="0.25">
      <c r="E328" s="46"/>
      <c r="F328" s="46"/>
    </row>
    <row r="330" spans="3:8" x14ac:dyDescent="0.25">
      <c r="E330" s="46"/>
      <c r="F330" s="46"/>
    </row>
    <row r="339" spans="5:6" x14ac:dyDescent="0.25">
      <c r="E339" s="46"/>
      <c r="F339" s="46"/>
    </row>
  </sheetData>
  <mergeCells count="36">
    <mergeCell ref="A304:A305"/>
    <mergeCell ref="B304:B305"/>
    <mergeCell ref="A306:A307"/>
    <mergeCell ref="B306:B307"/>
    <mergeCell ref="A296:A297"/>
    <mergeCell ref="B296:B297"/>
    <mergeCell ref="A298:A299"/>
    <mergeCell ref="B298:B299"/>
    <mergeCell ref="A301:A302"/>
    <mergeCell ref="B301:B302"/>
    <mergeCell ref="A289:A290"/>
    <mergeCell ref="B289:B290"/>
    <mergeCell ref="A291:A292"/>
    <mergeCell ref="B291:B292"/>
    <mergeCell ref="A294:A295"/>
    <mergeCell ref="B294:B295"/>
    <mergeCell ref="A156:A158"/>
    <mergeCell ref="B156:B158"/>
    <mergeCell ref="D156:D157"/>
    <mergeCell ref="A173:A174"/>
    <mergeCell ref="B173:B174"/>
    <mergeCell ref="D173:D174"/>
    <mergeCell ref="A60:A62"/>
    <mergeCell ref="D60:D62"/>
    <mergeCell ref="A85:A87"/>
    <mergeCell ref="B85:B87"/>
    <mergeCell ref="D85:D87"/>
    <mergeCell ref="A126:A131"/>
    <mergeCell ref="B126:B131"/>
    <mergeCell ref="D126:D130"/>
    <mergeCell ref="C1:F1"/>
    <mergeCell ref="C2:F2"/>
    <mergeCell ref="E3:F3"/>
    <mergeCell ref="A5:F5"/>
    <mergeCell ref="A36:A37"/>
    <mergeCell ref="D36:D37"/>
  </mergeCells>
  <phoneticPr fontId="12" type="noConversion"/>
  <pageMargins left="0.70866141732283472" right="0" top="0.74803149606299213" bottom="0.74803149606299213" header="0.31496062992125984" footer="0.31496062992125984"/>
  <pageSetup paperSize="9" orientation="portrait" r:id="rId1"/>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M79"/>
  <sheetViews>
    <sheetView workbookViewId="0">
      <selection activeCell="G3" sqref="G3"/>
    </sheetView>
  </sheetViews>
  <sheetFormatPr defaultColWidth="9.109375" defaultRowHeight="13.2" x14ac:dyDescent="0.25"/>
  <cols>
    <col min="1" max="1" width="4.88671875" style="3" customWidth="1"/>
    <col min="2" max="2" width="7.109375" style="43" customWidth="1"/>
    <col min="3" max="3" width="50.33203125" style="3" customWidth="1"/>
    <col min="4" max="4" width="10.33203125" style="7" customWidth="1"/>
    <col min="5" max="5" width="8.109375" style="3" customWidth="1"/>
    <col min="6" max="6" width="11.33203125" style="3" customWidth="1"/>
    <col min="7" max="16384" width="9.109375" style="2"/>
  </cols>
  <sheetData>
    <row r="1" spans="1:12" ht="15.75" customHeight="1" x14ac:dyDescent="0.3">
      <c r="C1" s="174" t="s">
        <v>154</v>
      </c>
      <c r="D1" s="174"/>
      <c r="E1" s="174"/>
      <c r="F1" s="174"/>
    </row>
    <row r="2" spans="1:12" ht="15.75" customHeight="1" x14ac:dyDescent="0.3">
      <c r="C2" s="174" t="s">
        <v>849</v>
      </c>
      <c r="D2" s="174"/>
      <c r="E2" s="174"/>
      <c r="F2" s="174"/>
    </row>
    <row r="3" spans="1:12" ht="15.6" x14ac:dyDescent="0.25">
      <c r="B3" s="7"/>
      <c r="E3" s="175" t="s">
        <v>118</v>
      </c>
      <c r="F3" s="175"/>
    </row>
    <row r="4" spans="1:12" ht="15.6" x14ac:dyDescent="0.25">
      <c r="B4" s="7"/>
      <c r="E4" s="35"/>
      <c r="F4" s="35"/>
    </row>
    <row r="5" spans="1:12" ht="30" customHeight="1" x14ac:dyDescent="0.25">
      <c r="A5" s="176" t="s">
        <v>452</v>
      </c>
      <c r="B5" s="176"/>
      <c r="C5" s="176"/>
      <c r="D5" s="176"/>
      <c r="E5" s="176"/>
      <c r="F5" s="176"/>
    </row>
    <row r="6" spans="1:12" x14ac:dyDescent="0.25">
      <c r="A6" s="29"/>
      <c r="B6" s="29"/>
      <c r="C6" s="29"/>
      <c r="D6" s="29"/>
      <c r="E6" s="29"/>
      <c r="F6" s="29"/>
    </row>
    <row r="7" spans="1:12" x14ac:dyDescent="0.25">
      <c r="B7" s="7"/>
      <c r="E7" s="5"/>
      <c r="F7" s="5" t="s">
        <v>130</v>
      </c>
    </row>
    <row r="8" spans="1:12" ht="46.5" customHeight="1" x14ac:dyDescent="0.25">
      <c r="A8" s="8" t="s">
        <v>119</v>
      </c>
      <c r="B8" s="9" t="s">
        <v>455</v>
      </c>
      <c r="C8" s="8" t="s">
        <v>16</v>
      </c>
      <c r="D8" s="9" t="s">
        <v>55</v>
      </c>
      <c r="E8" s="8" t="s">
        <v>17</v>
      </c>
      <c r="F8" s="8" t="s">
        <v>29</v>
      </c>
    </row>
    <row r="9" spans="1:12" x14ac:dyDescent="0.25">
      <c r="A9" s="10">
        <v>1</v>
      </c>
      <c r="B9" s="11" t="s">
        <v>18</v>
      </c>
      <c r="C9" s="8">
        <v>3</v>
      </c>
      <c r="D9" s="9">
        <v>4</v>
      </c>
      <c r="E9" s="8">
        <v>5</v>
      </c>
      <c r="F9" s="8">
        <v>6</v>
      </c>
    </row>
    <row r="10" spans="1:12" ht="18" customHeight="1" x14ac:dyDescent="0.25">
      <c r="A10" s="12">
        <v>1</v>
      </c>
      <c r="B10" s="11" t="s">
        <v>56</v>
      </c>
      <c r="C10" s="13" t="s">
        <v>57</v>
      </c>
      <c r="D10" s="9"/>
      <c r="E10" s="44">
        <f>+E15+E11</f>
        <v>307.39999999999998</v>
      </c>
      <c r="F10" s="44">
        <f>+F15+F11</f>
        <v>5</v>
      </c>
      <c r="G10" s="4"/>
      <c r="H10" s="4"/>
      <c r="I10" s="4"/>
      <c r="J10" s="4"/>
      <c r="K10" s="4"/>
      <c r="L10" s="4"/>
    </row>
    <row r="11" spans="1:12" ht="26.4" x14ac:dyDescent="0.25">
      <c r="A11" s="60" t="s">
        <v>18</v>
      </c>
      <c r="B11" s="1"/>
      <c r="C11" s="28" t="s">
        <v>712</v>
      </c>
      <c r="D11" s="1"/>
      <c r="E11" s="135">
        <f>+E12+E13+E14</f>
        <v>9.3000000000000007</v>
      </c>
      <c r="F11" s="135">
        <f>+F12+F13+F14</f>
        <v>5</v>
      </c>
      <c r="G11" s="4"/>
      <c r="H11" s="4"/>
      <c r="I11" s="4"/>
      <c r="J11" s="4"/>
      <c r="K11" s="4"/>
      <c r="L11" s="4"/>
    </row>
    <row r="12" spans="1:12" ht="15" customHeight="1" x14ac:dyDescent="0.25">
      <c r="A12" s="60" t="s">
        <v>359</v>
      </c>
      <c r="B12" s="1"/>
      <c r="C12" s="136" t="s">
        <v>713</v>
      </c>
      <c r="D12" s="1" t="s">
        <v>60</v>
      </c>
      <c r="E12" s="135">
        <v>3.2</v>
      </c>
      <c r="F12" s="135">
        <v>2.1</v>
      </c>
      <c r="G12" s="4"/>
      <c r="H12" s="4"/>
      <c r="I12" s="4"/>
      <c r="J12" s="4"/>
      <c r="K12" s="4"/>
      <c r="L12" s="4"/>
    </row>
    <row r="13" spans="1:12" ht="15" customHeight="1" x14ac:dyDescent="0.25">
      <c r="A13" s="60" t="s">
        <v>575</v>
      </c>
      <c r="B13" s="1"/>
      <c r="C13" s="136" t="s">
        <v>714</v>
      </c>
      <c r="D13" s="23" t="s">
        <v>62</v>
      </c>
      <c r="E13" s="135">
        <v>4.2</v>
      </c>
      <c r="F13" s="135">
        <v>1</v>
      </c>
      <c r="G13" s="4"/>
      <c r="H13" s="4"/>
      <c r="I13" s="4"/>
      <c r="J13" s="4"/>
      <c r="K13" s="4"/>
      <c r="L13" s="4"/>
    </row>
    <row r="14" spans="1:12" ht="15" customHeight="1" x14ac:dyDescent="0.25">
      <c r="A14" s="60" t="s">
        <v>815</v>
      </c>
      <c r="B14" s="1"/>
      <c r="C14" s="136" t="s">
        <v>715</v>
      </c>
      <c r="D14" s="23" t="s">
        <v>716</v>
      </c>
      <c r="E14" s="135">
        <v>1.9</v>
      </c>
      <c r="F14" s="135">
        <v>1.9</v>
      </c>
      <c r="G14" s="4"/>
      <c r="H14" s="4"/>
      <c r="I14" s="4"/>
      <c r="J14" s="4"/>
      <c r="K14" s="4"/>
      <c r="L14" s="4"/>
    </row>
    <row r="15" spans="1:12" x14ac:dyDescent="0.25">
      <c r="A15" s="12">
        <v>3</v>
      </c>
      <c r="B15" s="1"/>
      <c r="C15" s="51" t="s">
        <v>200</v>
      </c>
      <c r="D15" s="1"/>
      <c r="E15" s="57">
        <f>+E16+E17+E18+E19</f>
        <v>298.09999999999997</v>
      </c>
      <c r="F15" s="95">
        <f>+F16+F17+F18+F19</f>
        <v>0</v>
      </c>
      <c r="G15" s="4"/>
      <c r="H15" s="4"/>
      <c r="I15" s="4"/>
      <c r="J15" s="4"/>
      <c r="K15" s="4"/>
      <c r="L15" s="26"/>
    </row>
    <row r="16" spans="1:12" ht="26.4" x14ac:dyDescent="0.25">
      <c r="A16" s="60" t="s">
        <v>816</v>
      </c>
      <c r="B16" s="1"/>
      <c r="C16" s="28" t="s">
        <v>156</v>
      </c>
      <c r="D16" s="1" t="s">
        <v>61</v>
      </c>
      <c r="E16" s="57">
        <f>33.4+25</f>
        <v>58.4</v>
      </c>
      <c r="F16" s="95"/>
      <c r="G16" s="4"/>
      <c r="H16" s="4"/>
      <c r="I16" s="4"/>
      <c r="J16" s="4"/>
      <c r="K16" s="4"/>
      <c r="L16" s="26"/>
    </row>
    <row r="17" spans="1:12" ht="26.4" x14ac:dyDescent="0.25">
      <c r="A17" s="60" t="s">
        <v>817</v>
      </c>
      <c r="B17" s="1"/>
      <c r="C17" s="85" t="s">
        <v>681</v>
      </c>
      <c r="D17" s="1" t="s">
        <v>58</v>
      </c>
      <c r="E17" s="57">
        <v>6.2</v>
      </c>
      <c r="F17" s="95"/>
      <c r="G17" s="4"/>
      <c r="H17" s="4"/>
      <c r="I17" s="4"/>
      <c r="J17" s="4"/>
      <c r="K17" s="4"/>
      <c r="L17" s="26"/>
    </row>
    <row r="18" spans="1:12" x14ac:dyDescent="0.25">
      <c r="A18" s="60" t="s">
        <v>818</v>
      </c>
      <c r="B18" s="1"/>
      <c r="C18" s="85" t="s">
        <v>718</v>
      </c>
      <c r="D18" s="1" t="s">
        <v>61</v>
      </c>
      <c r="E18" s="57">
        <v>208.8</v>
      </c>
      <c r="F18" s="95"/>
      <c r="G18" s="4"/>
      <c r="H18" s="4"/>
      <c r="I18" s="4"/>
      <c r="J18" s="4"/>
      <c r="K18" s="4"/>
      <c r="L18" s="26"/>
    </row>
    <row r="19" spans="1:12" x14ac:dyDescent="0.25">
      <c r="A19" s="60" t="s">
        <v>819</v>
      </c>
      <c r="B19" s="1"/>
      <c r="C19" s="85" t="s">
        <v>719</v>
      </c>
      <c r="D19" s="1" t="s">
        <v>60</v>
      </c>
      <c r="E19" s="57">
        <v>24.7</v>
      </c>
      <c r="F19" s="95"/>
      <c r="G19" s="4"/>
      <c r="H19" s="4"/>
      <c r="I19" s="4"/>
      <c r="J19" s="4"/>
      <c r="K19" s="4"/>
      <c r="L19" s="26"/>
    </row>
    <row r="20" spans="1:12" ht="18" customHeight="1" x14ac:dyDescent="0.25">
      <c r="A20" s="60" t="s">
        <v>30</v>
      </c>
      <c r="B20" s="11" t="s">
        <v>65</v>
      </c>
      <c r="C20" s="17" t="s">
        <v>66</v>
      </c>
      <c r="D20" s="1"/>
      <c r="E20" s="52">
        <f>+E23+E21</f>
        <v>147.30000000000001</v>
      </c>
      <c r="F20" s="52">
        <f>+F23+F21</f>
        <v>0.7</v>
      </c>
      <c r="G20" s="4"/>
      <c r="H20" s="4"/>
      <c r="I20" s="4"/>
      <c r="J20" s="4"/>
      <c r="K20" s="4"/>
      <c r="L20" s="26"/>
    </row>
    <row r="21" spans="1:12" ht="26.4" x14ac:dyDescent="0.25">
      <c r="A21" s="60" t="s">
        <v>820</v>
      </c>
      <c r="B21" s="11"/>
      <c r="C21" s="15" t="s">
        <v>187</v>
      </c>
      <c r="D21" s="1"/>
      <c r="E21" s="137">
        <f>+E22</f>
        <v>125.3</v>
      </c>
      <c r="F21" s="18">
        <f>+F22</f>
        <v>0.7</v>
      </c>
    </row>
    <row r="22" spans="1:12" ht="26.4" x14ac:dyDescent="0.25">
      <c r="A22" s="60" t="s">
        <v>814</v>
      </c>
      <c r="B22" s="11"/>
      <c r="C22" s="136" t="s">
        <v>717</v>
      </c>
      <c r="D22" s="1" t="s">
        <v>236</v>
      </c>
      <c r="E22" s="137">
        <v>125.3</v>
      </c>
      <c r="F22" s="18">
        <v>0.7</v>
      </c>
    </row>
    <row r="23" spans="1:12" x14ac:dyDescent="0.25">
      <c r="A23" s="60" t="s">
        <v>821</v>
      </c>
      <c r="B23" s="11"/>
      <c r="C23" s="51" t="s">
        <v>200</v>
      </c>
      <c r="D23" s="1"/>
      <c r="E23" s="57">
        <f>+E24</f>
        <v>22</v>
      </c>
      <c r="F23" s="95">
        <f>+F24</f>
        <v>0</v>
      </c>
      <c r="G23" s="4"/>
      <c r="H23" s="4"/>
      <c r="I23" s="4"/>
      <c r="J23" s="4"/>
      <c r="K23" s="4"/>
      <c r="L23" s="26"/>
    </row>
    <row r="24" spans="1:12" ht="26.4" x14ac:dyDescent="0.25">
      <c r="A24" s="60" t="s">
        <v>568</v>
      </c>
      <c r="B24" s="11"/>
      <c r="C24" s="53" t="s">
        <v>223</v>
      </c>
      <c r="D24" s="14" t="s">
        <v>224</v>
      </c>
      <c r="E24" s="57">
        <v>22</v>
      </c>
      <c r="F24" s="95"/>
      <c r="G24" s="4"/>
      <c r="H24" s="4"/>
      <c r="I24" s="4"/>
      <c r="J24" s="4"/>
      <c r="K24" s="4"/>
      <c r="L24" s="26"/>
    </row>
    <row r="25" spans="1:12" ht="18" customHeight="1" x14ac:dyDescent="0.25">
      <c r="A25" s="12">
        <v>7</v>
      </c>
      <c r="B25" s="11" t="s">
        <v>21</v>
      </c>
      <c r="C25" s="17" t="s">
        <v>22</v>
      </c>
      <c r="D25" s="1"/>
      <c r="E25" s="52">
        <f>+E30+E26+E28</f>
        <v>288.89999999999998</v>
      </c>
      <c r="F25" s="52">
        <f>+F30+F26+F28</f>
        <v>128.19999999999999</v>
      </c>
      <c r="G25" s="4"/>
      <c r="H25" s="4"/>
      <c r="I25" s="4"/>
      <c r="J25" s="4"/>
      <c r="K25" s="4"/>
      <c r="L25" s="26"/>
    </row>
    <row r="26" spans="1:12" ht="18" customHeight="1" x14ac:dyDescent="0.25">
      <c r="A26" s="60" t="s">
        <v>225</v>
      </c>
      <c r="B26" s="1"/>
      <c r="C26" s="24" t="s">
        <v>1</v>
      </c>
      <c r="D26" s="1"/>
      <c r="E26" s="95">
        <f>+E27</f>
        <v>32.9</v>
      </c>
      <c r="F26" s="95">
        <f>+F27</f>
        <v>24.1</v>
      </c>
      <c r="G26" s="4"/>
      <c r="H26" s="4"/>
      <c r="I26" s="4"/>
      <c r="J26" s="4"/>
      <c r="K26" s="4"/>
      <c r="L26" s="26"/>
    </row>
    <row r="27" spans="1:12" ht="18" customHeight="1" x14ac:dyDescent="0.25">
      <c r="A27" s="60" t="s">
        <v>569</v>
      </c>
      <c r="B27" s="1"/>
      <c r="C27" s="68" t="s">
        <v>199</v>
      </c>
      <c r="D27" s="1" t="s">
        <v>24</v>
      </c>
      <c r="E27" s="95">
        <v>32.9</v>
      </c>
      <c r="F27" s="95">
        <v>24.1</v>
      </c>
      <c r="G27" s="4"/>
      <c r="H27" s="4"/>
      <c r="I27" s="4"/>
      <c r="J27" s="4"/>
      <c r="K27" s="4"/>
      <c r="L27" s="26"/>
    </row>
    <row r="28" spans="1:12" x14ac:dyDescent="0.25">
      <c r="A28" s="60" t="s">
        <v>822</v>
      </c>
      <c r="B28" s="1"/>
      <c r="C28" s="28" t="s">
        <v>153</v>
      </c>
      <c r="D28" s="1"/>
      <c r="E28" s="57">
        <f>+E29</f>
        <v>111</v>
      </c>
      <c r="F28" s="95">
        <f>+F29</f>
        <v>104.1</v>
      </c>
      <c r="G28" s="4"/>
      <c r="H28" s="4"/>
      <c r="I28" s="4"/>
      <c r="J28" s="4"/>
      <c r="K28" s="4"/>
      <c r="L28" s="26"/>
    </row>
    <row r="29" spans="1:12" ht="39.6" x14ac:dyDescent="0.25">
      <c r="A29" s="60" t="s">
        <v>823</v>
      </c>
      <c r="B29" s="1"/>
      <c r="C29" s="136" t="s">
        <v>709</v>
      </c>
      <c r="D29" s="1" t="s">
        <v>23</v>
      </c>
      <c r="E29" s="57">
        <v>111</v>
      </c>
      <c r="F29" s="95">
        <v>104.1</v>
      </c>
      <c r="G29" s="4"/>
      <c r="H29" s="4"/>
      <c r="I29" s="4"/>
      <c r="J29" s="4"/>
      <c r="K29" s="4"/>
      <c r="L29" s="26"/>
    </row>
    <row r="30" spans="1:12" x14ac:dyDescent="0.25">
      <c r="A30" s="12">
        <v>10</v>
      </c>
      <c r="B30" s="11"/>
      <c r="C30" s="51" t="s">
        <v>200</v>
      </c>
      <c r="D30" s="1"/>
      <c r="E30" s="57">
        <f>+E31+E32+E33</f>
        <v>145</v>
      </c>
      <c r="F30" s="95">
        <f>+F31+F32+F33</f>
        <v>0</v>
      </c>
      <c r="H30" s="4"/>
      <c r="I30" s="4"/>
      <c r="J30" s="4"/>
      <c r="K30" s="4"/>
      <c r="L30" s="26"/>
    </row>
    <row r="31" spans="1:12" x14ac:dyDescent="0.25">
      <c r="A31" s="60" t="s">
        <v>185</v>
      </c>
      <c r="B31" s="1"/>
      <c r="C31" s="28" t="s">
        <v>178</v>
      </c>
      <c r="D31" s="1" t="s">
        <v>31</v>
      </c>
      <c r="E31" s="57">
        <f>90+55-35-12</f>
        <v>98</v>
      </c>
      <c r="F31" s="95"/>
      <c r="H31" s="4"/>
      <c r="I31" s="4"/>
      <c r="J31" s="4"/>
      <c r="K31" s="4"/>
      <c r="L31" s="4"/>
    </row>
    <row r="32" spans="1:12" x14ac:dyDescent="0.25">
      <c r="A32" s="60" t="s">
        <v>570</v>
      </c>
      <c r="B32" s="1"/>
      <c r="C32" s="66" t="s">
        <v>157</v>
      </c>
      <c r="D32" s="31" t="s">
        <v>89</v>
      </c>
      <c r="E32" s="57">
        <v>12.5</v>
      </c>
      <c r="F32" s="95"/>
      <c r="G32" s="4"/>
      <c r="H32" s="4"/>
      <c r="I32" s="4"/>
      <c r="J32" s="4"/>
      <c r="K32" s="4"/>
      <c r="L32" s="4"/>
    </row>
    <row r="33" spans="1:12" ht="26.4" x14ac:dyDescent="0.25">
      <c r="A33" s="60" t="s">
        <v>824</v>
      </c>
      <c r="B33" s="1"/>
      <c r="C33" s="28" t="s">
        <v>304</v>
      </c>
      <c r="D33" s="1" t="s">
        <v>23</v>
      </c>
      <c r="E33" s="57">
        <v>34.5</v>
      </c>
      <c r="F33" s="95"/>
      <c r="G33" s="4"/>
      <c r="H33" s="4"/>
      <c r="I33" s="4"/>
      <c r="J33" s="4"/>
      <c r="K33" s="4"/>
      <c r="L33" s="4"/>
    </row>
    <row r="34" spans="1:12" ht="18" customHeight="1" x14ac:dyDescent="0.25">
      <c r="A34" s="60" t="s">
        <v>25</v>
      </c>
      <c r="B34" s="11" t="s">
        <v>77</v>
      </c>
      <c r="C34" s="17" t="s">
        <v>222</v>
      </c>
      <c r="D34" s="1"/>
      <c r="E34" s="52">
        <f>+E35</f>
        <v>15</v>
      </c>
      <c r="F34" s="52">
        <f>+F35</f>
        <v>0</v>
      </c>
      <c r="G34" s="4"/>
      <c r="H34" s="4"/>
      <c r="I34" s="4"/>
      <c r="J34" s="4"/>
      <c r="K34" s="4"/>
      <c r="L34" s="26"/>
    </row>
    <row r="35" spans="1:12" x14ac:dyDescent="0.25">
      <c r="A35" s="60" t="s">
        <v>825</v>
      </c>
      <c r="B35" s="1"/>
      <c r="C35" s="51" t="s">
        <v>200</v>
      </c>
      <c r="D35" s="1"/>
      <c r="E35" s="57">
        <f>+E36</f>
        <v>15</v>
      </c>
      <c r="F35" s="95">
        <f>+F36</f>
        <v>0</v>
      </c>
      <c r="G35" s="4"/>
      <c r="H35" s="4"/>
      <c r="I35" s="4"/>
      <c r="J35" s="4"/>
      <c r="K35" s="4"/>
      <c r="L35" s="26"/>
    </row>
    <row r="36" spans="1:12" ht="26.4" x14ac:dyDescent="0.25">
      <c r="A36" s="60" t="s">
        <v>571</v>
      </c>
      <c r="B36" s="1"/>
      <c r="C36" s="28" t="s">
        <v>179</v>
      </c>
      <c r="D36" s="1" t="s">
        <v>62</v>
      </c>
      <c r="E36" s="57">
        <v>15</v>
      </c>
      <c r="F36" s="95"/>
      <c r="G36" s="4"/>
      <c r="H36" s="4"/>
      <c r="I36" s="4"/>
      <c r="J36" s="4"/>
      <c r="K36" s="4"/>
      <c r="L36" s="26"/>
    </row>
    <row r="37" spans="1:12" ht="18" customHeight="1" x14ac:dyDescent="0.25">
      <c r="A37" s="12">
        <v>13</v>
      </c>
      <c r="B37" s="11" t="s">
        <v>79</v>
      </c>
      <c r="C37" s="17" t="s">
        <v>80</v>
      </c>
      <c r="D37" s="8"/>
      <c r="E37" s="52">
        <f>+E40+E38</f>
        <v>408.4</v>
      </c>
      <c r="F37" s="52">
        <f>+F40+F38</f>
        <v>2.1</v>
      </c>
      <c r="G37" s="4"/>
      <c r="H37" s="4"/>
      <c r="I37" s="4"/>
      <c r="J37" s="4"/>
      <c r="K37" s="4"/>
      <c r="L37" s="26"/>
    </row>
    <row r="38" spans="1:12" ht="18" customHeight="1" x14ac:dyDescent="0.25">
      <c r="A38" s="12">
        <v>14</v>
      </c>
      <c r="B38" s="11"/>
      <c r="C38" s="138" t="s">
        <v>710</v>
      </c>
      <c r="D38" s="8"/>
      <c r="E38" s="95">
        <f>+E39</f>
        <v>4.4000000000000004</v>
      </c>
      <c r="F38" s="95">
        <f>+F39</f>
        <v>2.1</v>
      </c>
      <c r="G38" s="4"/>
      <c r="H38" s="4"/>
      <c r="I38" s="4"/>
      <c r="J38" s="4"/>
      <c r="K38" s="4"/>
      <c r="L38" s="26"/>
    </row>
    <row r="39" spans="1:12" ht="18" customHeight="1" x14ac:dyDescent="0.25">
      <c r="A39" s="12" t="s">
        <v>417</v>
      </c>
      <c r="B39" s="11"/>
      <c r="C39" s="139" t="s">
        <v>711</v>
      </c>
      <c r="D39" s="14" t="s">
        <v>81</v>
      </c>
      <c r="E39" s="95">
        <v>4.4000000000000004</v>
      </c>
      <c r="F39" s="95">
        <v>2.1</v>
      </c>
      <c r="G39" s="4"/>
      <c r="H39" s="4"/>
      <c r="I39" s="4"/>
      <c r="J39" s="4"/>
      <c r="K39" s="4"/>
      <c r="L39" s="26"/>
    </row>
    <row r="40" spans="1:12" ht="12.6" customHeight="1" x14ac:dyDescent="0.25">
      <c r="A40" s="12">
        <v>15</v>
      </c>
      <c r="B40" s="11"/>
      <c r="C40" s="51" t="s">
        <v>200</v>
      </c>
      <c r="D40" s="1"/>
      <c r="E40" s="57">
        <f>+E41+E42</f>
        <v>404</v>
      </c>
      <c r="F40" s="95">
        <f>+F41+F42</f>
        <v>0</v>
      </c>
      <c r="G40" s="4"/>
      <c r="H40" s="4"/>
      <c r="I40" s="4"/>
      <c r="J40" s="4"/>
      <c r="K40" s="4"/>
      <c r="L40" s="26"/>
    </row>
    <row r="41" spans="1:12" ht="39.6" x14ac:dyDescent="0.25">
      <c r="A41" s="60" t="s">
        <v>195</v>
      </c>
      <c r="B41" s="1"/>
      <c r="C41" s="16" t="s">
        <v>191</v>
      </c>
      <c r="D41" s="14" t="s">
        <v>83</v>
      </c>
      <c r="E41" s="57">
        <f>250+123</f>
        <v>373</v>
      </c>
      <c r="F41" s="95"/>
      <c r="G41" s="4"/>
      <c r="H41" s="4"/>
      <c r="I41" s="4"/>
      <c r="J41" s="4"/>
      <c r="K41" s="4"/>
      <c r="L41" s="26"/>
    </row>
    <row r="42" spans="1:12" ht="26.4" x14ac:dyDescent="0.25">
      <c r="A42" s="60" t="s">
        <v>826</v>
      </c>
      <c r="B42" s="1"/>
      <c r="C42" s="16" t="s">
        <v>215</v>
      </c>
      <c r="D42" s="14" t="s">
        <v>81</v>
      </c>
      <c r="E42" s="57">
        <v>31</v>
      </c>
      <c r="F42" s="95"/>
      <c r="G42" s="4"/>
      <c r="H42" s="4"/>
      <c r="I42" s="4"/>
      <c r="J42" s="4"/>
      <c r="K42" s="4"/>
      <c r="L42" s="26"/>
    </row>
    <row r="43" spans="1:12" ht="28.5" customHeight="1" x14ac:dyDescent="0.25">
      <c r="A43" s="12">
        <v>16</v>
      </c>
      <c r="B43" s="11" t="s">
        <v>105</v>
      </c>
      <c r="C43" s="72" t="s">
        <v>106</v>
      </c>
      <c r="D43" s="1"/>
      <c r="E43" s="52">
        <f>+E44</f>
        <v>62.6</v>
      </c>
      <c r="F43" s="52">
        <f>+F44</f>
        <v>0</v>
      </c>
      <c r="G43" s="4"/>
      <c r="H43" s="4"/>
      <c r="I43" s="4"/>
      <c r="J43" s="4"/>
      <c r="K43" s="4"/>
      <c r="L43" s="26"/>
    </row>
    <row r="44" spans="1:12" ht="12.6" customHeight="1" x14ac:dyDescent="0.25">
      <c r="A44" s="12">
        <v>17</v>
      </c>
      <c r="B44" s="11"/>
      <c r="C44" s="16" t="s">
        <v>200</v>
      </c>
      <c r="D44" s="1"/>
      <c r="E44" s="57">
        <f>+E45+E46</f>
        <v>62.6</v>
      </c>
      <c r="F44" s="95">
        <f>+F45+F46</f>
        <v>0</v>
      </c>
      <c r="G44" s="4"/>
      <c r="H44" s="4"/>
      <c r="I44" s="4"/>
      <c r="J44" s="4"/>
      <c r="K44" s="4"/>
      <c r="L44" s="26"/>
    </row>
    <row r="45" spans="1:12" ht="42.75" customHeight="1" x14ac:dyDescent="0.25">
      <c r="A45" s="60" t="s">
        <v>827</v>
      </c>
      <c r="B45" s="1"/>
      <c r="C45" s="28" t="s">
        <v>177</v>
      </c>
      <c r="D45" s="1" t="s">
        <v>147</v>
      </c>
      <c r="E45" s="57">
        <f>33+4.1</f>
        <v>37.1</v>
      </c>
      <c r="F45" s="95"/>
      <c r="G45" s="4"/>
      <c r="H45" s="4"/>
      <c r="I45" s="4"/>
      <c r="J45" s="4"/>
      <c r="K45" s="4"/>
      <c r="L45" s="26"/>
    </row>
    <row r="46" spans="1:12" ht="26.4" x14ac:dyDescent="0.25">
      <c r="A46" s="60" t="s">
        <v>828</v>
      </c>
      <c r="B46" s="1"/>
      <c r="C46" s="90" t="s">
        <v>203</v>
      </c>
      <c r="D46" s="1" t="s">
        <v>127</v>
      </c>
      <c r="E46" s="57">
        <v>25.5</v>
      </c>
      <c r="F46" s="95"/>
      <c r="G46" s="4"/>
      <c r="H46" s="4"/>
      <c r="I46" s="4"/>
      <c r="J46" s="4"/>
      <c r="K46" s="4"/>
      <c r="L46" s="26"/>
    </row>
    <row r="47" spans="1:12" ht="18" customHeight="1" x14ac:dyDescent="0.25">
      <c r="A47" s="12">
        <v>18</v>
      </c>
      <c r="B47" s="11" t="s">
        <v>85</v>
      </c>
      <c r="C47" s="45" t="s">
        <v>86</v>
      </c>
      <c r="D47" s="1"/>
      <c r="E47" s="52">
        <f>+E48</f>
        <v>640</v>
      </c>
      <c r="F47" s="52">
        <f>+F48</f>
        <v>0</v>
      </c>
      <c r="G47" s="4"/>
      <c r="H47" s="4"/>
      <c r="I47" s="4"/>
      <c r="J47" s="4"/>
      <c r="K47" s="4"/>
      <c r="L47" s="26"/>
    </row>
    <row r="48" spans="1:12" ht="12.6" customHeight="1" x14ac:dyDescent="0.25">
      <c r="A48" s="12">
        <v>19</v>
      </c>
      <c r="B48" s="1"/>
      <c r="C48" s="51" t="s">
        <v>200</v>
      </c>
      <c r="D48" s="14"/>
      <c r="E48" s="57">
        <f>+E49+E50+E51+E52+E53</f>
        <v>640</v>
      </c>
      <c r="F48" s="95">
        <f>+F49+F50+F51+F52</f>
        <v>0</v>
      </c>
      <c r="G48" s="4"/>
      <c r="H48" s="4"/>
      <c r="I48" s="4"/>
      <c r="J48" s="4"/>
      <c r="K48" s="4"/>
      <c r="L48" s="26"/>
    </row>
    <row r="49" spans="1:13" ht="12.6" customHeight="1" x14ac:dyDescent="0.25">
      <c r="A49" s="60" t="s">
        <v>829</v>
      </c>
      <c r="B49" s="1"/>
      <c r="C49" s="22" t="s">
        <v>158</v>
      </c>
      <c r="D49" s="14" t="s">
        <v>588</v>
      </c>
      <c r="E49" s="57">
        <f>36+2</f>
        <v>38</v>
      </c>
      <c r="F49" s="95"/>
      <c r="G49" s="4"/>
      <c r="H49" s="4"/>
      <c r="I49" s="4"/>
      <c r="J49" s="4"/>
      <c r="K49" s="4"/>
      <c r="L49" s="26"/>
    </row>
    <row r="50" spans="1:13" ht="26.4" x14ac:dyDescent="0.25">
      <c r="A50" s="60" t="s">
        <v>830</v>
      </c>
      <c r="B50" s="1"/>
      <c r="C50" s="51" t="s">
        <v>318</v>
      </c>
      <c r="D50" s="14" t="s">
        <v>361</v>
      </c>
      <c r="E50" s="57">
        <f>100+50</f>
        <v>150</v>
      </c>
      <c r="F50" s="95"/>
      <c r="G50" s="4"/>
      <c r="H50" s="4"/>
      <c r="I50" s="4"/>
      <c r="J50" s="4"/>
      <c r="K50" s="4"/>
      <c r="L50" s="26"/>
    </row>
    <row r="51" spans="1:13" ht="12.6" customHeight="1" x14ac:dyDescent="0.25">
      <c r="A51" s="60" t="s">
        <v>831</v>
      </c>
      <c r="B51" s="1"/>
      <c r="C51" s="15" t="s">
        <v>159</v>
      </c>
      <c r="D51" s="14" t="s">
        <v>163</v>
      </c>
      <c r="E51" s="57">
        <f>270+12</f>
        <v>282</v>
      </c>
      <c r="F51" s="95"/>
      <c r="G51" s="4"/>
      <c r="H51" s="4"/>
      <c r="I51" s="4"/>
      <c r="J51" s="4"/>
      <c r="K51" s="4"/>
      <c r="L51" s="26"/>
    </row>
    <row r="52" spans="1:13" ht="26.4" x14ac:dyDescent="0.25">
      <c r="A52" s="60" t="s">
        <v>832</v>
      </c>
      <c r="B52" s="1"/>
      <c r="C52" s="15" t="s">
        <v>319</v>
      </c>
      <c r="D52" s="14" t="s">
        <v>88</v>
      </c>
      <c r="E52" s="57">
        <f>20.2+11.8+2</f>
        <v>34</v>
      </c>
      <c r="F52" s="95"/>
      <c r="G52" s="4"/>
      <c r="H52" s="4"/>
      <c r="I52" s="4"/>
      <c r="J52" s="4"/>
      <c r="K52" s="4"/>
      <c r="L52" s="26"/>
    </row>
    <row r="53" spans="1:13" x14ac:dyDescent="0.25">
      <c r="A53" s="60" t="s">
        <v>833</v>
      </c>
      <c r="B53" s="1"/>
      <c r="C53" s="15" t="s">
        <v>708</v>
      </c>
      <c r="D53" s="14" t="s">
        <v>588</v>
      </c>
      <c r="E53" s="19">
        <v>136</v>
      </c>
      <c r="F53" s="95"/>
      <c r="G53" s="4"/>
      <c r="H53" s="4"/>
      <c r="I53" s="4"/>
      <c r="J53" s="4"/>
      <c r="K53" s="4"/>
      <c r="L53" s="26"/>
    </row>
    <row r="54" spans="1:13" ht="18" customHeight="1" x14ac:dyDescent="0.25">
      <c r="A54" s="12">
        <v>20</v>
      </c>
      <c r="B54" s="11" t="s">
        <v>90</v>
      </c>
      <c r="C54" s="17" t="s">
        <v>91</v>
      </c>
      <c r="D54" s="1"/>
      <c r="E54" s="52">
        <f>+E55</f>
        <v>555</v>
      </c>
      <c r="F54" s="52">
        <f>+F55</f>
        <v>0</v>
      </c>
      <c r="G54" s="4"/>
      <c r="H54" s="4"/>
      <c r="I54" s="4"/>
      <c r="J54" s="4"/>
      <c r="K54" s="4"/>
      <c r="L54" s="26"/>
    </row>
    <row r="55" spans="1:13" x14ac:dyDescent="0.25">
      <c r="A55" s="12">
        <v>21</v>
      </c>
      <c r="B55" s="1"/>
      <c r="C55" s="51" t="s">
        <v>200</v>
      </c>
      <c r="D55" s="1"/>
      <c r="E55" s="57">
        <f>+E56+E57</f>
        <v>555</v>
      </c>
      <c r="F55" s="95">
        <f>+F56+F57</f>
        <v>0</v>
      </c>
      <c r="G55" s="4"/>
      <c r="H55" s="4"/>
      <c r="I55" s="4"/>
      <c r="J55" s="4"/>
      <c r="K55" s="4"/>
      <c r="L55" s="26"/>
    </row>
    <row r="56" spans="1:13" ht="29.25" customHeight="1" x14ac:dyDescent="0.25">
      <c r="A56" s="60" t="s">
        <v>834</v>
      </c>
      <c r="B56" s="1"/>
      <c r="C56" s="91" t="s">
        <v>160</v>
      </c>
      <c r="D56" s="1" t="s">
        <v>93</v>
      </c>
      <c r="E56" s="57">
        <v>439</v>
      </c>
      <c r="F56" s="95"/>
      <c r="G56" s="4"/>
      <c r="H56" s="4"/>
      <c r="I56" s="4"/>
      <c r="J56" s="4"/>
      <c r="K56" s="4"/>
      <c r="L56" s="26"/>
      <c r="M56" s="2" t="s">
        <v>486</v>
      </c>
    </row>
    <row r="57" spans="1:13" ht="39.6" x14ac:dyDescent="0.25">
      <c r="A57" s="60" t="s">
        <v>835</v>
      </c>
      <c r="B57" s="1"/>
      <c r="C57" s="91" t="s">
        <v>217</v>
      </c>
      <c r="D57" s="1" t="s">
        <v>148</v>
      </c>
      <c r="E57" s="57">
        <v>116</v>
      </c>
      <c r="F57" s="95"/>
      <c r="G57" s="4"/>
      <c r="H57" s="4"/>
      <c r="I57" s="4"/>
      <c r="J57" s="4"/>
      <c r="K57" s="4"/>
      <c r="L57" s="26"/>
    </row>
    <row r="58" spans="1:13" ht="15.75" customHeight="1" x14ac:dyDescent="0.25">
      <c r="A58" s="12">
        <v>22</v>
      </c>
      <c r="B58" s="1"/>
      <c r="C58" s="49" t="s">
        <v>20</v>
      </c>
      <c r="D58" s="1"/>
      <c r="E58" s="42">
        <f>+E10+E20+E25+E34+E37+E43+E47+E54</f>
        <v>2424.6</v>
      </c>
      <c r="F58" s="42">
        <f>+F10+F20+F25+F34+F37+F43+F47+F54</f>
        <v>135.99999999999997</v>
      </c>
      <c r="G58" s="4"/>
      <c r="H58" s="4"/>
      <c r="I58" s="4"/>
      <c r="J58" s="4"/>
      <c r="K58" s="4"/>
      <c r="L58" s="4"/>
    </row>
    <row r="59" spans="1:13" x14ac:dyDescent="0.25">
      <c r="C59" s="3" t="s">
        <v>109</v>
      </c>
      <c r="E59" s="47"/>
      <c r="F59" s="47"/>
    </row>
    <row r="60" spans="1:13" x14ac:dyDescent="0.25">
      <c r="D60" s="6"/>
      <c r="E60" s="47"/>
      <c r="F60" s="47"/>
    </row>
    <row r="61" spans="1:13" x14ac:dyDescent="0.25">
      <c r="C61" s="80"/>
      <c r="E61" s="92"/>
      <c r="F61" s="92"/>
    </row>
    <row r="62" spans="1:13" x14ac:dyDescent="0.25">
      <c r="C62" s="5"/>
      <c r="D62" s="6"/>
      <c r="E62" s="47"/>
      <c r="F62" s="47"/>
    </row>
    <row r="63" spans="1:13" x14ac:dyDescent="0.25">
      <c r="C63" s="25"/>
      <c r="E63" s="47"/>
      <c r="F63" s="47"/>
    </row>
    <row r="64" spans="1:13" x14ac:dyDescent="0.25">
      <c r="C64" s="25"/>
      <c r="E64" s="47"/>
      <c r="F64" s="47"/>
    </row>
    <row r="65" spans="3:6" x14ac:dyDescent="0.25">
      <c r="F65" s="47"/>
    </row>
    <row r="66" spans="3:6" x14ac:dyDescent="0.25">
      <c r="C66" s="5"/>
      <c r="E66" s="47"/>
      <c r="F66" s="47"/>
    </row>
    <row r="67" spans="3:6" x14ac:dyDescent="0.25">
      <c r="C67" s="5"/>
    </row>
    <row r="68" spans="3:6" x14ac:dyDescent="0.25">
      <c r="C68" s="5"/>
    </row>
    <row r="69" spans="3:6" x14ac:dyDescent="0.25">
      <c r="C69" s="5"/>
      <c r="E69" s="47"/>
      <c r="F69" s="47"/>
    </row>
    <row r="70" spans="3:6" x14ac:dyDescent="0.25">
      <c r="C70" s="5"/>
      <c r="E70" s="47"/>
      <c r="F70" s="47"/>
    </row>
    <row r="71" spans="3:6" x14ac:dyDescent="0.25">
      <c r="C71" s="54"/>
      <c r="D71" s="3"/>
      <c r="E71" s="47"/>
      <c r="F71" s="47"/>
    </row>
    <row r="72" spans="3:6" x14ac:dyDescent="0.25">
      <c r="C72" s="55"/>
      <c r="D72" s="47"/>
    </row>
    <row r="73" spans="3:6" x14ac:dyDescent="0.25">
      <c r="C73" s="5"/>
      <c r="D73" s="47"/>
    </row>
    <row r="74" spans="3:6" x14ac:dyDescent="0.25">
      <c r="C74" s="5"/>
      <c r="D74" s="93"/>
    </row>
    <row r="75" spans="3:6" x14ac:dyDescent="0.25">
      <c r="C75" s="5"/>
    </row>
    <row r="76" spans="3:6" x14ac:dyDescent="0.25">
      <c r="C76" s="5"/>
    </row>
    <row r="77" spans="3:6" x14ac:dyDescent="0.25">
      <c r="D77" s="3"/>
    </row>
    <row r="79" spans="3:6" x14ac:dyDescent="0.25">
      <c r="C79" s="5"/>
    </row>
  </sheetData>
  <mergeCells count="4">
    <mergeCell ref="C1:F1"/>
    <mergeCell ref="C2:F2"/>
    <mergeCell ref="E3:F3"/>
    <mergeCell ref="A5:F5"/>
  </mergeCells>
  <pageMargins left="0.70866141732283472" right="0" top="0.74803149606299213" bottom="0.74803149606299213" header="0.31496062992125984" footer="0.31496062992125984"/>
  <pageSetup paperSize="9" orientation="portrait"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K113"/>
  <sheetViews>
    <sheetView workbookViewId="0">
      <selection activeCell="I8" sqref="I8"/>
    </sheetView>
  </sheetViews>
  <sheetFormatPr defaultColWidth="9.109375" defaultRowHeight="13.2" x14ac:dyDescent="0.25"/>
  <cols>
    <col min="1" max="1" width="3.88671875" style="3" customWidth="1"/>
    <col min="2" max="2" width="7.33203125" style="7" customWidth="1"/>
    <col min="3" max="3" width="55.109375" style="80" customWidth="1"/>
    <col min="4" max="4" width="10.33203125" style="146" customWidth="1"/>
    <col min="5" max="5" width="7.6640625" style="5" customWidth="1"/>
    <col min="6" max="6" width="11.109375" style="5" customWidth="1"/>
    <col min="7" max="16384" width="9.109375" style="2"/>
  </cols>
  <sheetData>
    <row r="1" spans="1:8" ht="15.6" x14ac:dyDescent="0.3">
      <c r="C1" s="174" t="s">
        <v>220</v>
      </c>
      <c r="D1" s="174"/>
      <c r="E1" s="174"/>
      <c r="F1" s="174"/>
    </row>
    <row r="2" spans="1:8" ht="15.6" x14ac:dyDescent="0.3">
      <c r="C2" s="174" t="s">
        <v>850</v>
      </c>
      <c r="D2" s="174"/>
      <c r="E2" s="174"/>
      <c r="F2" s="174"/>
    </row>
    <row r="3" spans="1:8" ht="15.6" x14ac:dyDescent="0.3">
      <c r="C3" s="96"/>
      <c r="D3" s="96"/>
      <c r="E3" s="175" t="s">
        <v>238</v>
      </c>
      <c r="F3" s="175"/>
    </row>
    <row r="4" spans="1:8" ht="12" customHeight="1" x14ac:dyDescent="0.25">
      <c r="C4" s="6"/>
      <c r="D4" s="6"/>
      <c r="E4" s="6"/>
      <c r="F4" s="6"/>
    </row>
    <row r="5" spans="1:8" ht="25.5" customHeight="1" x14ac:dyDescent="0.25">
      <c r="A5" s="176" t="s">
        <v>453</v>
      </c>
      <c r="B5" s="176"/>
      <c r="C5" s="176"/>
      <c r="D5" s="176"/>
      <c r="E5" s="176"/>
      <c r="F5" s="176"/>
    </row>
    <row r="6" spans="1:8" x14ac:dyDescent="0.25">
      <c r="A6" s="29"/>
      <c r="B6" s="29"/>
      <c r="C6" s="29"/>
      <c r="D6" s="29"/>
      <c r="E6" s="29"/>
      <c r="F6" s="29"/>
    </row>
    <row r="8" spans="1:8" ht="51.75" customHeight="1" x14ac:dyDescent="0.25">
      <c r="A8" s="8" t="s">
        <v>119</v>
      </c>
      <c r="B8" s="9" t="s">
        <v>455</v>
      </c>
      <c r="C8" s="8" t="s">
        <v>16</v>
      </c>
      <c r="D8" s="9" t="s">
        <v>55</v>
      </c>
      <c r="E8" s="8" t="s">
        <v>17</v>
      </c>
      <c r="F8" s="8" t="s">
        <v>29</v>
      </c>
    </row>
    <row r="9" spans="1:8" s="43" customFormat="1" ht="12" customHeight="1" x14ac:dyDescent="0.25">
      <c r="A9" s="10">
        <v>1</v>
      </c>
      <c r="B9" s="11" t="s">
        <v>18</v>
      </c>
      <c r="C9" s="8">
        <v>3</v>
      </c>
      <c r="D9" s="9">
        <v>4</v>
      </c>
      <c r="E9" s="8">
        <v>5</v>
      </c>
      <c r="F9" s="8">
        <v>6</v>
      </c>
    </row>
    <row r="10" spans="1:8" s="43" customFormat="1" ht="20.100000000000001" customHeight="1" x14ac:dyDescent="0.25">
      <c r="A10" s="12">
        <v>1</v>
      </c>
      <c r="B10" s="9" t="s">
        <v>65</v>
      </c>
      <c r="C10" s="13" t="s">
        <v>66</v>
      </c>
      <c r="D10" s="9"/>
      <c r="E10" s="42">
        <f>SUM(+E11+E13+E15)</f>
        <v>546</v>
      </c>
      <c r="F10" s="42">
        <f>SUM(+F11+F13+F15)</f>
        <v>379.9</v>
      </c>
      <c r="G10" s="118"/>
      <c r="H10" s="140"/>
    </row>
    <row r="11" spans="1:8" s="43" customFormat="1" ht="24.75" customHeight="1" x14ac:dyDescent="0.3">
      <c r="A11" s="12">
        <v>2</v>
      </c>
      <c r="B11" s="14" t="s">
        <v>239</v>
      </c>
      <c r="C11" s="70" t="s">
        <v>595</v>
      </c>
      <c r="D11" s="14" t="s">
        <v>236</v>
      </c>
      <c r="E11" s="141">
        <f>+E12</f>
        <v>452.5</v>
      </c>
      <c r="F11" s="141">
        <f>+F12</f>
        <v>377.5</v>
      </c>
      <c r="G11" s="118"/>
      <c r="H11" s="142"/>
    </row>
    <row r="12" spans="1:8" s="43" customFormat="1" ht="12.6" customHeight="1" x14ac:dyDescent="0.25">
      <c r="A12" s="12">
        <v>3</v>
      </c>
      <c r="B12" s="14"/>
      <c r="C12" s="67" t="s">
        <v>233</v>
      </c>
      <c r="D12" s="9"/>
      <c r="E12" s="41">
        <v>452.5</v>
      </c>
      <c r="F12" s="41">
        <f>379.3-1.8</f>
        <v>377.5</v>
      </c>
      <c r="G12" s="118"/>
      <c r="H12" s="118"/>
    </row>
    <row r="13" spans="1:8" s="43" customFormat="1" ht="12.6" customHeight="1" x14ac:dyDescent="0.25">
      <c r="A13" s="12">
        <v>4</v>
      </c>
      <c r="B13" s="14" t="s">
        <v>240</v>
      </c>
      <c r="C13" s="70" t="s">
        <v>242</v>
      </c>
      <c r="D13" s="14" t="s">
        <v>236</v>
      </c>
      <c r="E13" s="141">
        <f>+E14</f>
        <v>91</v>
      </c>
      <c r="F13" s="141">
        <f>+F14</f>
        <v>0</v>
      </c>
      <c r="G13" s="118"/>
      <c r="H13" s="118"/>
    </row>
    <row r="14" spans="1:8" s="43" customFormat="1" ht="12.6" customHeight="1" x14ac:dyDescent="0.25">
      <c r="A14" s="12">
        <v>5</v>
      </c>
      <c r="B14" s="14"/>
      <c r="C14" s="67" t="s">
        <v>233</v>
      </c>
      <c r="D14" s="9"/>
      <c r="E14" s="41">
        <v>91</v>
      </c>
      <c r="F14" s="41"/>
      <c r="G14" s="118"/>
      <c r="H14" s="118"/>
    </row>
    <row r="15" spans="1:8" s="43" customFormat="1" ht="12.6" customHeight="1" x14ac:dyDescent="0.25">
      <c r="A15" s="12">
        <v>6</v>
      </c>
      <c r="B15" s="14" t="s">
        <v>241</v>
      </c>
      <c r="C15" s="70" t="s">
        <v>243</v>
      </c>
      <c r="D15" s="14" t="s">
        <v>70</v>
      </c>
      <c r="E15" s="141">
        <f>+E16</f>
        <v>2.5</v>
      </c>
      <c r="F15" s="141">
        <f>+F16</f>
        <v>2.4</v>
      </c>
      <c r="G15" s="118"/>
      <c r="H15" s="118"/>
    </row>
    <row r="16" spans="1:8" s="43" customFormat="1" ht="12.6" customHeight="1" x14ac:dyDescent="0.25">
      <c r="A16" s="12">
        <v>7</v>
      </c>
      <c r="B16" s="9"/>
      <c r="C16" s="33" t="s">
        <v>3</v>
      </c>
      <c r="D16" s="9"/>
      <c r="E16" s="41">
        <v>2.5</v>
      </c>
      <c r="F16" s="41">
        <v>2.4</v>
      </c>
      <c r="G16" s="118"/>
      <c r="H16" s="118"/>
    </row>
    <row r="17" spans="1:11" ht="18" customHeight="1" x14ac:dyDescent="0.25">
      <c r="A17" s="12">
        <v>8</v>
      </c>
      <c r="B17" s="11" t="s">
        <v>21</v>
      </c>
      <c r="C17" s="17" t="s">
        <v>22</v>
      </c>
      <c r="D17" s="1"/>
      <c r="E17" s="42">
        <f>SUM(E18+E25+E27+E29+E42+E44)</f>
        <v>3464.4000000000005</v>
      </c>
      <c r="F17" s="42">
        <f>SUM(F18+F25+F27+F29+F42+F44)</f>
        <v>1576.9</v>
      </c>
      <c r="G17" s="4"/>
      <c r="H17" s="4"/>
    </row>
    <row r="18" spans="1:11" ht="24.9" customHeight="1" x14ac:dyDescent="0.25">
      <c r="A18" s="12">
        <v>9</v>
      </c>
      <c r="B18" s="1" t="s">
        <v>244</v>
      </c>
      <c r="C18" s="70" t="s">
        <v>245</v>
      </c>
      <c r="D18" s="18" t="s">
        <v>24</v>
      </c>
      <c r="E18" s="143">
        <f>SUM(E19:E23)</f>
        <v>1285.3000000000002</v>
      </c>
      <c r="F18" s="143">
        <f>SUM(F19:F23)</f>
        <v>701.7</v>
      </c>
      <c r="G18" s="4"/>
      <c r="H18" s="4"/>
      <c r="K18" s="36"/>
    </row>
    <row r="19" spans="1:11" ht="12.6" customHeight="1" x14ac:dyDescent="0.25">
      <c r="A19" s="12">
        <v>10</v>
      </c>
      <c r="B19" s="1"/>
      <c r="C19" s="16" t="s">
        <v>1</v>
      </c>
      <c r="D19" s="18"/>
      <c r="E19" s="19">
        <f>254.3+60.6+60+43-37</f>
        <v>380.90000000000003</v>
      </c>
      <c r="F19" s="19">
        <f>247.5+57.7+59+42.2-36</f>
        <v>370.4</v>
      </c>
      <c r="G19" s="4"/>
      <c r="H19" s="4"/>
    </row>
    <row r="20" spans="1:11" ht="12.6" customHeight="1" x14ac:dyDescent="0.25">
      <c r="A20" s="12">
        <v>11</v>
      </c>
      <c r="B20" s="1"/>
      <c r="C20" s="66" t="s">
        <v>2</v>
      </c>
      <c r="D20" s="18"/>
      <c r="E20" s="19">
        <f>151.9+39.8</f>
        <v>191.7</v>
      </c>
      <c r="F20" s="19">
        <f>120.3+8</f>
        <v>128.30000000000001</v>
      </c>
      <c r="G20" s="4"/>
      <c r="H20" s="4"/>
    </row>
    <row r="21" spans="1:11" ht="12.6" customHeight="1" x14ac:dyDescent="0.25">
      <c r="A21" s="12">
        <v>12</v>
      </c>
      <c r="B21" s="1"/>
      <c r="C21" s="66" t="s">
        <v>15</v>
      </c>
      <c r="D21" s="18"/>
      <c r="E21" s="19">
        <f>102.5+4+2.5+39.6</f>
        <v>148.6</v>
      </c>
      <c r="F21" s="19">
        <f>78+8+5</f>
        <v>91</v>
      </c>
      <c r="G21" s="4"/>
      <c r="H21" s="4"/>
    </row>
    <row r="22" spans="1:11" ht="12.6" customHeight="1" x14ac:dyDescent="0.25">
      <c r="A22" s="12">
        <v>13</v>
      </c>
      <c r="B22" s="1"/>
      <c r="C22" s="66" t="s">
        <v>19</v>
      </c>
      <c r="D22" s="18"/>
      <c r="E22" s="19">
        <f>102.5+4+2.5+39.6</f>
        <v>148.6</v>
      </c>
      <c r="F22" s="19">
        <f>93.4+18.6</f>
        <v>112</v>
      </c>
      <c r="G22" s="4"/>
      <c r="H22" s="4"/>
    </row>
    <row r="23" spans="1:11" ht="12.6" customHeight="1" x14ac:dyDescent="0.25">
      <c r="A23" s="177">
        <v>14</v>
      </c>
      <c r="B23" s="179"/>
      <c r="C23" s="33" t="s">
        <v>3</v>
      </c>
      <c r="D23" s="18"/>
      <c r="E23" s="19">
        <f>271.5+40+30+74</f>
        <v>415.5</v>
      </c>
      <c r="F23" s="19"/>
      <c r="G23" s="4"/>
      <c r="H23" s="4"/>
    </row>
    <row r="24" spans="1:11" ht="26.4" x14ac:dyDescent="0.25">
      <c r="A24" s="178"/>
      <c r="B24" s="180"/>
      <c r="C24" s="16" t="s">
        <v>246</v>
      </c>
      <c r="D24" s="18"/>
      <c r="E24" s="19">
        <v>35</v>
      </c>
      <c r="F24" s="19"/>
      <c r="G24" s="4"/>
      <c r="H24" s="4"/>
    </row>
    <row r="25" spans="1:11" ht="24.9" customHeight="1" x14ac:dyDescent="0.25">
      <c r="A25" s="12">
        <v>15</v>
      </c>
      <c r="B25" s="1" t="s">
        <v>247</v>
      </c>
      <c r="C25" s="70" t="s">
        <v>248</v>
      </c>
      <c r="D25" s="1" t="s">
        <v>23</v>
      </c>
      <c r="E25" s="143">
        <f>SUM(E26:E26)</f>
        <v>828.8</v>
      </c>
      <c r="F25" s="143">
        <f>SUM(F26:F26)</f>
        <v>797</v>
      </c>
      <c r="G25" s="4"/>
      <c r="H25" s="4"/>
    </row>
    <row r="26" spans="1:11" ht="12.6" customHeight="1" x14ac:dyDescent="0.25">
      <c r="A26" s="12">
        <v>16</v>
      </c>
      <c r="B26" s="1"/>
      <c r="C26" s="16" t="s">
        <v>153</v>
      </c>
      <c r="D26" s="1"/>
      <c r="E26" s="19">
        <v>828.8</v>
      </c>
      <c r="F26" s="19">
        <v>797</v>
      </c>
      <c r="G26" s="4"/>
      <c r="H26" s="4"/>
    </row>
    <row r="27" spans="1:11" ht="26.4" x14ac:dyDescent="0.25">
      <c r="A27" s="12">
        <v>17</v>
      </c>
      <c r="B27" s="1" t="s">
        <v>249</v>
      </c>
      <c r="C27" s="70" t="s">
        <v>675</v>
      </c>
      <c r="D27" s="1" t="s">
        <v>23</v>
      </c>
      <c r="E27" s="143">
        <f>SUM(E28:E28)</f>
        <v>55</v>
      </c>
      <c r="F27" s="143">
        <f>SUM(F28:F28)</f>
        <v>54.2</v>
      </c>
      <c r="G27" s="4"/>
      <c r="H27" s="4"/>
    </row>
    <row r="28" spans="1:11" x14ac:dyDescent="0.25">
      <c r="A28" s="12">
        <v>18</v>
      </c>
      <c r="B28" s="1"/>
      <c r="C28" s="16" t="s">
        <v>153</v>
      </c>
      <c r="D28" s="1"/>
      <c r="E28" s="19">
        <v>55</v>
      </c>
      <c r="F28" s="19">
        <v>54.2</v>
      </c>
      <c r="G28" s="4"/>
      <c r="H28" s="4"/>
    </row>
    <row r="29" spans="1:11" ht="45.6" customHeight="1" x14ac:dyDescent="0.25">
      <c r="A29" s="12">
        <v>19</v>
      </c>
      <c r="B29" s="1" t="s">
        <v>252</v>
      </c>
      <c r="C29" s="70" t="s">
        <v>250</v>
      </c>
      <c r="D29" s="14" t="s">
        <v>251</v>
      </c>
      <c r="E29" s="143">
        <f>SUM(E30:E41)</f>
        <v>343.9</v>
      </c>
      <c r="F29" s="143">
        <f>SUM(F30:F41)</f>
        <v>10</v>
      </c>
      <c r="G29" s="4"/>
      <c r="H29" s="4"/>
    </row>
    <row r="30" spans="1:11" ht="12.6" customHeight="1" x14ac:dyDescent="0.25">
      <c r="A30" s="12">
        <v>20</v>
      </c>
      <c r="B30" s="1"/>
      <c r="C30" s="33" t="s">
        <v>3</v>
      </c>
      <c r="D30" s="14"/>
      <c r="E30" s="19">
        <f>6-1.5</f>
        <v>4.5</v>
      </c>
      <c r="F30" s="19"/>
      <c r="G30" s="4"/>
      <c r="H30" s="4"/>
    </row>
    <row r="31" spans="1:11" ht="12.6" customHeight="1" x14ac:dyDescent="0.25">
      <c r="A31" s="12">
        <v>21</v>
      </c>
      <c r="B31" s="1"/>
      <c r="C31" s="15" t="s">
        <v>8</v>
      </c>
      <c r="D31" s="1"/>
      <c r="E31" s="19">
        <f>197.5+20.7-10.2+20.8-35.4-8.6</f>
        <v>184.8</v>
      </c>
      <c r="F31" s="19">
        <f>5.7-0.2</f>
        <v>5.5</v>
      </c>
      <c r="G31" s="4"/>
      <c r="H31" s="4"/>
    </row>
    <row r="32" spans="1:11" ht="12.6" customHeight="1" x14ac:dyDescent="0.25">
      <c r="A32" s="12">
        <v>22</v>
      </c>
      <c r="B32" s="1"/>
      <c r="C32" s="15" t="s">
        <v>4</v>
      </c>
      <c r="D32" s="1"/>
      <c r="E32" s="19">
        <f>34.6+3-4.2</f>
        <v>33.4</v>
      </c>
      <c r="F32" s="19">
        <v>1</v>
      </c>
      <c r="G32" s="4"/>
      <c r="H32" s="4"/>
    </row>
    <row r="33" spans="1:8" ht="12.6" customHeight="1" x14ac:dyDescent="0.25">
      <c r="A33" s="12">
        <v>23</v>
      </c>
      <c r="B33" s="1"/>
      <c r="C33" s="15" t="s">
        <v>5</v>
      </c>
      <c r="D33" s="1"/>
      <c r="E33" s="19">
        <f>8+1.6</f>
        <v>9.6</v>
      </c>
      <c r="F33" s="19">
        <f>0.2+0.1</f>
        <v>0.30000000000000004</v>
      </c>
      <c r="G33" s="4"/>
      <c r="H33" s="4"/>
    </row>
    <row r="34" spans="1:8" ht="12.6" customHeight="1" x14ac:dyDescent="0.25">
      <c r="A34" s="12">
        <v>24</v>
      </c>
      <c r="B34" s="1"/>
      <c r="C34" s="15" t="s">
        <v>7</v>
      </c>
      <c r="D34" s="1"/>
      <c r="E34" s="19">
        <f>22.7-4</f>
        <v>18.7</v>
      </c>
      <c r="F34" s="19">
        <f>0.7-0.2</f>
        <v>0.49999999999999994</v>
      </c>
      <c r="G34" s="4"/>
      <c r="H34" s="4"/>
    </row>
    <row r="35" spans="1:8" ht="12.6" customHeight="1" x14ac:dyDescent="0.25">
      <c r="A35" s="12">
        <v>25</v>
      </c>
      <c r="B35" s="1"/>
      <c r="C35" s="15" t="s">
        <v>6</v>
      </c>
      <c r="D35" s="1"/>
      <c r="E35" s="19">
        <f>19.2-5.3</f>
        <v>13.899999999999999</v>
      </c>
      <c r="F35" s="19">
        <f>0.6-0.2</f>
        <v>0.39999999999999997</v>
      </c>
      <c r="G35" s="4"/>
      <c r="H35" s="4"/>
    </row>
    <row r="36" spans="1:8" ht="12.6" customHeight="1" x14ac:dyDescent="0.25">
      <c r="A36" s="12">
        <v>26</v>
      </c>
      <c r="B36" s="1"/>
      <c r="C36" s="15" t="s">
        <v>9</v>
      </c>
      <c r="D36" s="1"/>
      <c r="E36" s="19">
        <f>20.9+3.8</f>
        <v>24.7</v>
      </c>
      <c r="F36" s="19">
        <f>0.6+0.1</f>
        <v>0.7</v>
      </c>
      <c r="G36" s="4"/>
      <c r="H36" s="4"/>
    </row>
    <row r="37" spans="1:8" ht="12.6" customHeight="1" x14ac:dyDescent="0.25">
      <c r="A37" s="12">
        <v>27</v>
      </c>
      <c r="B37" s="1"/>
      <c r="C37" s="16" t="s">
        <v>10</v>
      </c>
      <c r="D37" s="1"/>
      <c r="E37" s="19">
        <f>10.3-0.7</f>
        <v>9.6000000000000014</v>
      </c>
      <c r="F37" s="19">
        <v>0.3</v>
      </c>
      <c r="G37" s="4"/>
      <c r="H37" s="4"/>
    </row>
    <row r="38" spans="1:8" ht="12.6" customHeight="1" x14ac:dyDescent="0.25">
      <c r="A38" s="12">
        <v>28</v>
      </c>
      <c r="B38" s="1"/>
      <c r="C38" s="15" t="s">
        <v>12</v>
      </c>
      <c r="D38" s="1"/>
      <c r="E38" s="19">
        <f>8.1-1.8</f>
        <v>6.3</v>
      </c>
      <c r="F38" s="19">
        <v>0.2</v>
      </c>
      <c r="G38" s="4"/>
      <c r="H38" s="4"/>
    </row>
    <row r="39" spans="1:8" ht="12.6" customHeight="1" x14ac:dyDescent="0.25">
      <c r="A39" s="12">
        <v>29</v>
      </c>
      <c r="B39" s="1"/>
      <c r="C39" s="15" t="s">
        <v>11</v>
      </c>
      <c r="D39" s="1"/>
      <c r="E39" s="19">
        <f>18.4-5.1</f>
        <v>13.299999999999999</v>
      </c>
      <c r="F39" s="19">
        <f>0.5-0.1</f>
        <v>0.4</v>
      </c>
      <c r="G39" s="4"/>
      <c r="H39" s="4"/>
    </row>
    <row r="40" spans="1:8" ht="12.6" customHeight="1" x14ac:dyDescent="0.25">
      <c r="A40" s="12">
        <v>30</v>
      </c>
      <c r="B40" s="1"/>
      <c r="C40" s="15" t="s">
        <v>13</v>
      </c>
      <c r="D40" s="1"/>
      <c r="E40" s="19">
        <f>10.3-2.9</f>
        <v>7.4</v>
      </c>
      <c r="F40" s="19">
        <f>0.3-0.1</f>
        <v>0.19999999999999998</v>
      </c>
      <c r="G40" s="4"/>
      <c r="H40" s="4"/>
    </row>
    <row r="41" spans="1:8" ht="12.6" customHeight="1" x14ac:dyDescent="0.25">
      <c r="A41" s="12">
        <v>31</v>
      </c>
      <c r="B41" s="1"/>
      <c r="C41" s="15" t="s">
        <v>14</v>
      </c>
      <c r="D41" s="1"/>
      <c r="E41" s="19">
        <f>18.4-0.7</f>
        <v>17.7</v>
      </c>
      <c r="F41" s="19">
        <v>0.5</v>
      </c>
      <c r="G41" s="4"/>
      <c r="H41" s="4"/>
    </row>
    <row r="42" spans="1:8" ht="29.25" customHeight="1" x14ac:dyDescent="0.25">
      <c r="A42" s="12">
        <v>32</v>
      </c>
      <c r="B42" s="1" t="s">
        <v>254</v>
      </c>
      <c r="C42" s="144" t="s">
        <v>253</v>
      </c>
      <c r="D42" s="1" t="s">
        <v>31</v>
      </c>
      <c r="E42" s="143">
        <f>+E43</f>
        <v>942.50000000000011</v>
      </c>
      <c r="F42" s="143">
        <f>+F43</f>
        <v>14</v>
      </c>
      <c r="G42" s="4"/>
      <c r="H42" s="4"/>
    </row>
    <row r="43" spans="1:8" ht="12.6" customHeight="1" x14ac:dyDescent="0.25">
      <c r="A43" s="12">
        <v>33</v>
      </c>
      <c r="B43" s="1"/>
      <c r="C43" s="33" t="s">
        <v>3</v>
      </c>
      <c r="D43" s="1"/>
      <c r="E43" s="19">
        <f>797.6+70.7+74.2</f>
        <v>942.50000000000011</v>
      </c>
      <c r="F43" s="19">
        <f>15.5-1.5</f>
        <v>14</v>
      </c>
      <c r="G43" s="4"/>
      <c r="H43" s="4"/>
    </row>
    <row r="44" spans="1:8" ht="24.9" customHeight="1" x14ac:dyDescent="0.25">
      <c r="A44" s="12">
        <v>34</v>
      </c>
      <c r="B44" s="1" t="s">
        <v>613</v>
      </c>
      <c r="C44" s="144" t="s">
        <v>255</v>
      </c>
      <c r="D44" s="1" t="s">
        <v>73</v>
      </c>
      <c r="E44" s="143">
        <f>+E45</f>
        <v>8.9</v>
      </c>
      <c r="F44" s="143">
        <f>+F45</f>
        <v>0</v>
      </c>
      <c r="G44" s="4"/>
      <c r="H44" s="4"/>
    </row>
    <row r="45" spans="1:8" ht="12.6" customHeight="1" x14ac:dyDescent="0.25">
      <c r="A45" s="12">
        <v>35</v>
      </c>
      <c r="B45" s="1"/>
      <c r="C45" s="33" t="s">
        <v>3</v>
      </c>
      <c r="D45" s="1"/>
      <c r="E45" s="19">
        <v>8.9</v>
      </c>
      <c r="F45" s="19"/>
      <c r="G45" s="4"/>
      <c r="H45" s="4"/>
    </row>
    <row r="46" spans="1:8" ht="18" customHeight="1" x14ac:dyDescent="0.25">
      <c r="A46" s="12">
        <v>36</v>
      </c>
      <c r="B46" s="11" t="s">
        <v>32</v>
      </c>
      <c r="C46" s="17" t="s">
        <v>33</v>
      </c>
      <c r="D46" s="1"/>
      <c r="E46" s="42">
        <f>+E47+E59+E62</f>
        <v>572.70000000000005</v>
      </c>
      <c r="F46" s="42">
        <f>+F47+F59+F62</f>
        <v>194.29999999999998</v>
      </c>
      <c r="G46" s="4"/>
      <c r="H46" s="4"/>
    </row>
    <row r="47" spans="1:8" ht="12.6" customHeight="1" x14ac:dyDescent="0.25">
      <c r="A47" s="12">
        <v>37</v>
      </c>
      <c r="B47" s="1" t="s">
        <v>256</v>
      </c>
      <c r="C47" s="144" t="s">
        <v>257</v>
      </c>
      <c r="D47" s="1" t="s">
        <v>258</v>
      </c>
      <c r="E47" s="143">
        <f>SUM(E48:E58)</f>
        <v>190.70000000000005</v>
      </c>
      <c r="F47" s="143">
        <f>SUM(F48:F58)</f>
        <v>183.39999999999998</v>
      </c>
      <c r="G47" s="4"/>
      <c r="H47" s="4"/>
    </row>
    <row r="48" spans="1:8" ht="12.6" customHeight="1" x14ac:dyDescent="0.25">
      <c r="A48" s="12">
        <v>38</v>
      </c>
      <c r="B48" s="1"/>
      <c r="C48" s="33" t="s">
        <v>3</v>
      </c>
      <c r="D48" s="1"/>
      <c r="E48" s="19">
        <f>77.9+1</f>
        <v>78.900000000000006</v>
      </c>
      <c r="F48" s="19">
        <f>72.1+4.6-3.6</f>
        <v>73.099999999999994</v>
      </c>
      <c r="G48" s="4"/>
      <c r="H48" s="4"/>
    </row>
    <row r="49" spans="1:8" ht="12.6" customHeight="1" x14ac:dyDescent="0.25">
      <c r="A49" s="12">
        <v>39</v>
      </c>
      <c r="B49" s="1"/>
      <c r="C49" s="15" t="s">
        <v>4</v>
      </c>
      <c r="D49" s="1"/>
      <c r="E49" s="19">
        <v>11.9</v>
      </c>
      <c r="F49" s="19">
        <v>11.7</v>
      </c>
      <c r="G49" s="4"/>
      <c r="H49" s="4"/>
    </row>
    <row r="50" spans="1:8" ht="12.6" customHeight="1" x14ac:dyDescent="0.25">
      <c r="A50" s="12">
        <v>40</v>
      </c>
      <c r="B50" s="1"/>
      <c r="C50" s="15" t="s">
        <v>5</v>
      </c>
      <c r="D50" s="1"/>
      <c r="E50" s="19">
        <v>8.9</v>
      </c>
      <c r="F50" s="19">
        <v>8.8000000000000007</v>
      </c>
      <c r="G50" s="4"/>
      <c r="H50" s="4"/>
    </row>
    <row r="51" spans="1:8" ht="12.6" customHeight="1" x14ac:dyDescent="0.25">
      <c r="A51" s="12">
        <v>41</v>
      </c>
      <c r="B51" s="1"/>
      <c r="C51" s="15" t="s">
        <v>7</v>
      </c>
      <c r="D51" s="1"/>
      <c r="E51" s="19">
        <v>12.8</v>
      </c>
      <c r="F51" s="19">
        <v>12.6</v>
      </c>
      <c r="G51" s="4"/>
      <c r="H51" s="4"/>
    </row>
    <row r="52" spans="1:8" ht="12.6" customHeight="1" x14ac:dyDescent="0.25">
      <c r="A52" s="12">
        <v>42</v>
      </c>
      <c r="B52" s="1"/>
      <c r="C52" s="15" t="s">
        <v>6</v>
      </c>
      <c r="D52" s="1"/>
      <c r="E52" s="19">
        <v>15.9</v>
      </c>
      <c r="F52" s="19">
        <v>15.7</v>
      </c>
      <c r="G52" s="4"/>
      <c r="H52" s="4"/>
    </row>
    <row r="53" spans="1:8" ht="12.6" customHeight="1" x14ac:dyDescent="0.25">
      <c r="A53" s="12">
        <v>43</v>
      </c>
      <c r="B53" s="1"/>
      <c r="C53" s="15" t="s">
        <v>9</v>
      </c>
      <c r="D53" s="1"/>
      <c r="E53" s="19">
        <f>12.8-1</f>
        <v>11.8</v>
      </c>
      <c r="F53" s="19">
        <f>12.6-1</f>
        <v>11.6</v>
      </c>
      <c r="G53" s="4"/>
      <c r="H53" s="4"/>
    </row>
    <row r="54" spans="1:8" ht="12.6" customHeight="1" x14ac:dyDescent="0.25">
      <c r="A54" s="12">
        <v>44</v>
      </c>
      <c r="B54" s="1"/>
      <c r="C54" s="16" t="s">
        <v>10</v>
      </c>
      <c r="D54" s="1"/>
      <c r="E54" s="19">
        <v>9</v>
      </c>
      <c r="F54" s="19">
        <v>8.9</v>
      </c>
      <c r="G54" s="4"/>
      <c r="H54" s="4"/>
    </row>
    <row r="55" spans="1:8" ht="12.6" customHeight="1" x14ac:dyDescent="0.25">
      <c r="A55" s="12">
        <v>45</v>
      </c>
      <c r="B55" s="1"/>
      <c r="C55" s="15" t="s">
        <v>12</v>
      </c>
      <c r="D55" s="1"/>
      <c r="E55" s="19">
        <v>8.3000000000000007</v>
      </c>
      <c r="F55" s="19">
        <v>8.1999999999999993</v>
      </c>
      <c r="G55" s="4"/>
      <c r="H55" s="4"/>
    </row>
    <row r="56" spans="1:8" ht="12.6" customHeight="1" x14ac:dyDescent="0.25">
      <c r="A56" s="12">
        <v>46</v>
      </c>
      <c r="B56" s="1"/>
      <c r="C56" s="15" t="s">
        <v>11</v>
      </c>
      <c r="D56" s="1"/>
      <c r="E56" s="19">
        <v>11.8</v>
      </c>
      <c r="F56" s="19">
        <v>11.7</v>
      </c>
      <c r="G56" s="4"/>
      <c r="H56" s="4"/>
    </row>
    <row r="57" spans="1:8" ht="12.6" customHeight="1" x14ac:dyDescent="0.25">
      <c r="A57" s="12">
        <v>47</v>
      </c>
      <c r="B57" s="1"/>
      <c r="C57" s="15" t="s">
        <v>13</v>
      </c>
      <c r="D57" s="1"/>
      <c r="E57" s="19">
        <v>9.5</v>
      </c>
      <c r="F57" s="19">
        <v>9.4</v>
      </c>
      <c r="G57" s="4"/>
      <c r="H57" s="4"/>
    </row>
    <row r="58" spans="1:8" ht="12.6" customHeight="1" x14ac:dyDescent="0.25">
      <c r="A58" s="12">
        <v>48</v>
      </c>
      <c r="B58" s="1"/>
      <c r="C58" s="15" t="s">
        <v>14</v>
      </c>
      <c r="D58" s="1"/>
      <c r="E58" s="19">
        <v>11.9</v>
      </c>
      <c r="F58" s="19">
        <v>11.7</v>
      </c>
      <c r="G58" s="4"/>
      <c r="H58" s="4"/>
    </row>
    <row r="59" spans="1:8" ht="72" customHeight="1" x14ac:dyDescent="0.25">
      <c r="A59" s="177">
        <v>49</v>
      </c>
      <c r="B59" s="179" t="s">
        <v>259</v>
      </c>
      <c r="C59" s="70" t="s">
        <v>291</v>
      </c>
      <c r="D59" s="179"/>
      <c r="E59" s="143">
        <f>+E61</f>
        <v>359.9</v>
      </c>
      <c r="F59" s="143">
        <f>+F61</f>
        <v>0</v>
      </c>
      <c r="G59" s="4"/>
      <c r="H59" s="4"/>
    </row>
    <row r="60" spans="1:8" ht="12.6" customHeight="1" x14ac:dyDescent="0.25">
      <c r="A60" s="178"/>
      <c r="B60" s="180"/>
      <c r="C60" s="70" t="s">
        <v>260</v>
      </c>
      <c r="D60" s="180"/>
      <c r="E60" s="143">
        <f>10+1.9</f>
        <v>11.9</v>
      </c>
      <c r="F60" s="143"/>
      <c r="G60" s="4"/>
      <c r="H60" s="4"/>
    </row>
    <row r="61" spans="1:8" ht="12.6" customHeight="1" x14ac:dyDescent="0.25">
      <c r="A61" s="12">
        <v>50</v>
      </c>
      <c r="B61" s="1"/>
      <c r="C61" s="33" t="s">
        <v>3</v>
      </c>
      <c r="D61" s="1" t="s">
        <v>261</v>
      </c>
      <c r="E61" s="19">
        <f>358+1.9</f>
        <v>359.9</v>
      </c>
      <c r="F61" s="19"/>
      <c r="G61" s="4"/>
      <c r="H61" s="4"/>
    </row>
    <row r="62" spans="1:8" ht="12.6" customHeight="1" x14ac:dyDescent="0.25">
      <c r="A62" s="12">
        <v>51</v>
      </c>
      <c r="B62" s="1"/>
      <c r="C62" s="68" t="s">
        <v>262</v>
      </c>
      <c r="D62" s="1" t="s">
        <v>263</v>
      </c>
      <c r="E62" s="19">
        <f>+E63</f>
        <v>22.1</v>
      </c>
      <c r="F62" s="19">
        <f>+F63</f>
        <v>10.9</v>
      </c>
      <c r="G62" s="4"/>
      <c r="H62" s="4"/>
    </row>
    <row r="63" spans="1:8" ht="12.6" customHeight="1" x14ac:dyDescent="0.25">
      <c r="A63" s="12">
        <v>52</v>
      </c>
      <c r="B63" s="1"/>
      <c r="C63" s="15" t="s">
        <v>3</v>
      </c>
      <c r="D63" s="1"/>
      <c r="E63" s="19">
        <v>22.1</v>
      </c>
      <c r="F63" s="19">
        <v>10.9</v>
      </c>
      <c r="G63" s="4"/>
      <c r="H63" s="4"/>
    </row>
    <row r="64" spans="1:8" ht="18" customHeight="1" x14ac:dyDescent="0.25">
      <c r="A64" s="12">
        <v>53</v>
      </c>
      <c r="B64" s="11" t="s">
        <v>25</v>
      </c>
      <c r="C64" s="17" t="s">
        <v>26</v>
      </c>
      <c r="D64" s="1"/>
      <c r="E64" s="42">
        <f>SUM(E65+E67+E69+E71+E73+E75+E77+E79+E81+E83+E85+E87+E100+E102)</f>
        <v>1589.9999999999998</v>
      </c>
      <c r="F64" s="42">
        <f>SUM(F65+F67+F69+F71+F73+F75+F77+F79+F81+F83+F85+F87+F100)</f>
        <v>1446.8</v>
      </c>
      <c r="G64" s="4"/>
      <c r="H64" s="4"/>
    </row>
    <row r="65" spans="1:8" ht="12.6" customHeight="1" x14ac:dyDescent="0.25">
      <c r="A65" s="12">
        <v>54</v>
      </c>
      <c r="B65" s="1" t="s">
        <v>34</v>
      </c>
      <c r="C65" s="144" t="s">
        <v>264</v>
      </c>
      <c r="D65" s="1" t="s">
        <v>28</v>
      </c>
      <c r="E65" s="143">
        <f>+E66</f>
        <v>1208.9000000000001</v>
      </c>
      <c r="F65" s="143">
        <f>+F66</f>
        <v>1096.4000000000001</v>
      </c>
      <c r="G65" s="4"/>
      <c r="H65" s="4"/>
    </row>
    <row r="66" spans="1:8" ht="12.6" customHeight="1" x14ac:dyDescent="0.25">
      <c r="A66" s="12">
        <v>55</v>
      </c>
      <c r="B66" s="99"/>
      <c r="C66" s="15" t="s">
        <v>27</v>
      </c>
      <c r="D66" s="18"/>
      <c r="E66" s="19">
        <f>1176.9+32</f>
        <v>1208.9000000000001</v>
      </c>
      <c r="F66" s="19">
        <f>1075.4+21</f>
        <v>1096.4000000000001</v>
      </c>
      <c r="G66" s="4"/>
      <c r="H66" s="4"/>
    </row>
    <row r="67" spans="1:8" ht="12.6" customHeight="1" x14ac:dyDescent="0.25">
      <c r="A67" s="12">
        <v>56</v>
      </c>
      <c r="B67" s="1" t="s">
        <v>35</v>
      </c>
      <c r="C67" s="70" t="s">
        <v>265</v>
      </c>
      <c r="D67" s="1" t="s">
        <v>266</v>
      </c>
      <c r="E67" s="143">
        <f>SUM(E68:E68)</f>
        <v>0.8</v>
      </c>
      <c r="F67" s="143">
        <f>SUM(F68:F68)</f>
        <v>0.8</v>
      </c>
      <c r="G67" s="4"/>
      <c r="H67" s="4"/>
    </row>
    <row r="68" spans="1:8" ht="12.6" customHeight="1" x14ac:dyDescent="0.25">
      <c r="A68" s="12">
        <v>57</v>
      </c>
      <c r="B68" s="1"/>
      <c r="C68" s="33" t="s">
        <v>3</v>
      </c>
      <c r="D68" s="1"/>
      <c r="E68" s="19">
        <v>0.8</v>
      </c>
      <c r="F68" s="19">
        <v>0.8</v>
      </c>
      <c r="G68" s="4"/>
      <c r="H68" s="4"/>
    </row>
    <row r="69" spans="1:8" ht="12.6" customHeight="1" x14ac:dyDescent="0.25">
      <c r="A69" s="12">
        <v>58</v>
      </c>
      <c r="B69" s="14" t="s">
        <v>36</v>
      </c>
      <c r="C69" s="70" t="s">
        <v>267</v>
      </c>
      <c r="D69" s="1" t="s">
        <v>266</v>
      </c>
      <c r="E69" s="141">
        <f>+E70</f>
        <v>46.7</v>
      </c>
      <c r="F69" s="141">
        <f>+F70</f>
        <v>40.9</v>
      </c>
      <c r="G69" s="4"/>
      <c r="H69" s="4"/>
    </row>
    <row r="70" spans="1:8" ht="12.6" customHeight="1" x14ac:dyDescent="0.25">
      <c r="A70" s="12">
        <v>59</v>
      </c>
      <c r="B70" s="1"/>
      <c r="C70" s="33" t="s">
        <v>3</v>
      </c>
      <c r="D70" s="1"/>
      <c r="E70" s="19">
        <v>46.7</v>
      </c>
      <c r="F70" s="19">
        <v>40.9</v>
      </c>
      <c r="G70" s="4"/>
      <c r="H70" s="4"/>
    </row>
    <row r="71" spans="1:8" ht="12.6" customHeight="1" x14ac:dyDescent="0.25">
      <c r="A71" s="12">
        <v>60</v>
      </c>
      <c r="B71" s="1" t="s">
        <v>37</v>
      </c>
      <c r="C71" s="70" t="s">
        <v>268</v>
      </c>
      <c r="D71" s="1" t="s">
        <v>38</v>
      </c>
      <c r="E71" s="141">
        <f>+E72</f>
        <v>33.700000000000003</v>
      </c>
      <c r="F71" s="141">
        <f>+F72</f>
        <v>32.299999999999997</v>
      </c>
      <c r="G71" s="4"/>
      <c r="H71" s="4"/>
    </row>
    <row r="72" spans="1:8" ht="12.6" customHeight="1" x14ac:dyDescent="0.25">
      <c r="A72" s="12">
        <v>61</v>
      </c>
      <c r="B72" s="1"/>
      <c r="C72" s="33" t="s">
        <v>3</v>
      </c>
      <c r="D72" s="1"/>
      <c r="E72" s="19">
        <v>33.700000000000003</v>
      </c>
      <c r="F72" s="19">
        <v>32.299999999999997</v>
      </c>
      <c r="G72" s="4"/>
      <c r="H72" s="4"/>
    </row>
    <row r="73" spans="1:8" ht="12.6" customHeight="1" x14ac:dyDescent="0.25">
      <c r="A73" s="12">
        <v>62</v>
      </c>
      <c r="B73" s="1" t="s">
        <v>205</v>
      </c>
      <c r="C73" s="70" t="s">
        <v>269</v>
      </c>
      <c r="D73" s="14" t="s">
        <v>270</v>
      </c>
      <c r="E73" s="141">
        <f>+E74</f>
        <v>46.5</v>
      </c>
      <c r="F73" s="141">
        <f>+F74</f>
        <v>37.5</v>
      </c>
      <c r="G73" s="4"/>
      <c r="H73" s="4"/>
    </row>
    <row r="74" spans="1:8" ht="12.6" customHeight="1" x14ac:dyDescent="0.25">
      <c r="A74" s="12">
        <v>63</v>
      </c>
      <c r="B74" s="1"/>
      <c r="C74" s="33" t="s">
        <v>3</v>
      </c>
      <c r="D74" s="1"/>
      <c r="E74" s="41">
        <v>46.5</v>
      </c>
      <c r="F74" s="41">
        <f>38.7-1.2</f>
        <v>37.5</v>
      </c>
      <c r="G74" s="4"/>
      <c r="H74" s="4"/>
    </row>
    <row r="75" spans="1:8" ht="12.6" customHeight="1" x14ac:dyDescent="0.25">
      <c r="A75" s="12">
        <v>64</v>
      </c>
      <c r="B75" s="1" t="s">
        <v>271</v>
      </c>
      <c r="C75" s="144" t="s">
        <v>272</v>
      </c>
      <c r="D75" s="1" t="s">
        <v>38</v>
      </c>
      <c r="E75" s="141">
        <f>+E76</f>
        <v>8.5</v>
      </c>
      <c r="F75" s="141">
        <f>+F76</f>
        <v>8.4</v>
      </c>
      <c r="G75" s="4"/>
      <c r="H75" s="4"/>
    </row>
    <row r="76" spans="1:8" ht="12.6" customHeight="1" x14ac:dyDescent="0.25">
      <c r="A76" s="12">
        <v>65</v>
      </c>
      <c r="B76" s="1"/>
      <c r="C76" s="33" t="s">
        <v>3</v>
      </c>
      <c r="D76" s="1"/>
      <c r="E76" s="19">
        <v>8.5</v>
      </c>
      <c r="F76" s="19">
        <v>8.4</v>
      </c>
      <c r="G76" s="4"/>
      <c r="H76" s="4"/>
    </row>
    <row r="77" spans="1:8" ht="12.6" customHeight="1" x14ac:dyDescent="0.25">
      <c r="A77" s="12">
        <v>66</v>
      </c>
      <c r="B77" s="1" t="s">
        <v>273</v>
      </c>
      <c r="C77" s="70" t="s">
        <v>274</v>
      </c>
      <c r="D77" s="14" t="s">
        <v>275</v>
      </c>
      <c r="E77" s="143">
        <f>+E78</f>
        <v>30.1</v>
      </c>
      <c r="F77" s="143">
        <f>+F78</f>
        <v>26.5</v>
      </c>
      <c r="G77" s="4"/>
      <c r="H77" s="4"/>
    </row>
    <row r="78" spans="1:8" ht="12.6" customHeight="1" x14ac:dyDescent="0.25">
      <c r="A78" s="12">
        <v>67</v>
      </c>
      <c r="B78" s="1"/>
      <c r="C78" s="33" t="s">
        <v>3</v>
      </c>
      <c r="D78" s="1"/>
      <c r="E78" s="19">
        <v>30.1</v>
      </c>
      <c r="F78" s="19">
        <v>26.5</v>
      </c>
      <c r="G78" s="4"/>
      <c r="H78" s="4"/>
    </row>
    <row r="79" spans="1:8" ht="12.6" customHeight="1" x14ac:dyDescent="0.25">
      <c r="A79" s="12">
        <v>68</v>
      </c>
      <c r="B79" s="1" t="s">
        <v>583</v>
      </c>
      <c r="C79" s="144" t="s">
        <v>277</v>
      </c>
      <c r="D79" s="1" t="s">
        <v>38</v>
      </c>
      <c r="E79" s="143">
        <f>+E80</f>
        <v>20</v>
      </c>
      <c r="F79" s="143">
        <f>+F80</f>
        <v>19</v>
      </c>
      <c r="G79" s="4"/>
      <c r="H79" s="4"/>
    </row>
    <row r="80" spans="1:8" ht="12.6" customHeight="1" x14ac:dyDescent="0.25">
      <c r="A80" s="12">
        <v>69</v>
      </c>
      <c r="B80" s="1"/>
      <c r="C80" s="33" t="s">
        <v>3</v>
      </c>
      <c r="D80" s="1"/>
      <c r="E80" s="19">
        <f>19.8+0.2</f>
        <v>20</v>
      </c>
      <c r="F80" s="19">
        <f>18.8+0.2</f>
        <v>19</v>
      </c>
      <c r="G80" s="4"/>
      <c r="H80" s="4"/>
    </row>
    <row r="81" spans="1:8" ht="12.6" customHeight="1" x14ac:dyDescent="0.25">
      <c r="A81" s="12">
        <v>70</v>
      </c>
      <c r="B81" s="1" t="s">
        <v>276</v>
      </c>
      <c r="C81" s="70" t="s">
        <v>279</v>
      </c>
      <c r="D81" s="1" t="s">
        <v>38</v>
      </c>
      <c r="E81" s="143">
        <f>+E82</f>
        <v>14.5</v>
      </c>
      <c r="F81" s="143">
        <f>+F82</f>
        <v>13.8</v>
      </c>
      <c r="G81" s="4"/>
      <c r="H81" s="4"/>
    </row>
    <row r="82" spans="1:8" ht="12.6" customHeight="1" x14ac:dyDescent="0.25">
      <c r="A82" s="12">
        <v>71</v>
      </c>
      <c r="B82" s="1"/>
      <c r="C82" s="33" t="s">
        <v>3</v>
      </c>
      <c r="D82" s="1"/>
      <c r="E82" s="19">
        <v>14.5</v>
      </c>
      <c r="F82" s="19">
        <v>13.8</v>
      </c>
      <c r="G82" s="4"/>
      <c r="H82" s="4"/>
    </row>
    <row r="83" spans="1:8" ht="12.6" customHeight="1" x14ac:dyDescent="0.25">
      <c r="A83" s="12">
        <v>72</v>
      </c>
      <c r="B83" s="1" t="s">
        <v>278</v>
      </c>
      <c r="C83" s="144" t="s">
        <v>281</v>
      </c>
      <c r="D83" s="1" t="s">
        <v>266</v>
      </c>
      <c r="E83" s="143">
        <f>+E84</f>
        <v>1.3</v>
      </c>
      <c r="F83" s="143">
        <f>+F84</f>
        <v>1.3</v>
      </c>
      <c r="G83" s="4"/>
      <c r="H83" s="4"/>
    </row>
    <row r="84" spans="1:8" ht="12.6" customHeight="1" x14ac:dyDescent="0.25">
      <c r="A84" s="12">
        <v>73</v>
      </c>
      <c r="B84" s="1"/>
      <c r="C84" s="33" t="s">
        <v>3</v>
      </c>
      <c r="D84" s="1"/>
      <c r="E84" s="19">
        <v>1.3</v>
      </c>
      <c r="F84" s="19">
        <v>1.3</v>
      </c>
      <c r="G84" s="4"/>
      <c r="H84" s="4"/>
    </row>
    <row r="85" spans="1:8" ht="12.6" customHeight="1" x14ac:dyDescent="0.25">
      <c r="A85" s="12">
        <v>74</v>
      </c>
      <c r="B85" s="1" t="s">
        <v>280</v>
      </c>
      <c r="C85" s="144" t="s">
        <v>283</v>
      </c>
      <c r="D85" s="1" t="s">
        <v>38</v>
      </c>
      <c r="E85" s="143">
        <f>SUM(E86:E86)</f>
        <v>6.8</v>
      </c>
      <c r="F85" s="143">
        <f>SUM(F86:F86)</f>
        <v>6.6</v>
      </c>
      <c r="G85" s="4"/>
      <c r="H85" s="4"/>
    </row>
    <row r="86" spans="1:8" ht="12.6" customHeight="1" x14ac:dyDescent="0.25">
      <c r="A86" s="12">
        <v>75</v>
      </c>
      <c r="B86" s="31"/>
      <c r="C86" s="15" t="s">
        <v>8</v>
      </c>
      <c r="D86" s="31"/>
      <c r="E86" s="19">
        <v>6.8</v>
      </c>
      <c r="F86" s="19">
        <v>6.6</v>
      </c>
      <c r="G86" s="4"/>
      <c r="H86" s="4"/>
    </row>
    <row r="87" spans="1:8" ht="12.6" customHeight="1" x14ac:dyDescent="0.25">
      <c r="A87" s="12">
        <v>76</v>
      </c>
      <c r="B87" s="1" t="s">
        <v>282</v>
      </c>
      <c r="C87" s="144" t="s">
        <v>285</v>
      </c>
      <c r="D87" s="1" t="s">
        <v>39</v>
      </c>
      <c r="E87" s="143">
        <f>SUM(E88:E99)</f>
        <v>153.09999999999997</v>
      </c>
      <c r="F87" s="143">
        <f>SUM(F88:F99)</f>
        <v>144.80000000000001</v>
      </c>
      <c r="G87" s="4"/>
      <c r="H87" s="4"/>
    </row>
    <row r="88" spans="1:8" ht="12.6" customHeight="1" x14ac:dyDescent="0.25">
      <c r="A88" s="12">
        <v>77</v>
      </c>
      <c r="B88" s="1"/>
      <c r="C88" s="33" t="s">
        <v>3</v>
      </c>
      <c r="D88" s="1"/>
      <c r="E88" s="143">
        <v>14</v>
      </c>
      <c r="F88" s="143">
        <v>9.6999999999999993</v>
      </c>
      <c r="G88" s="4"/>
      <c r="H88" s="4"/>
    </row>
    <row r="89" spans="1:8" ht="12.6" customHeight="1" x14ac:dyDescent="0.25">
      <c r="A89" s="12">
        <v>78</v>
      </c>
      <c r="B89" s="1"/>
      <c r="C89" s="15" t="s">
        <v>8</v>
      </c>
      <c r="D89" s="1"/>
      <c r="E89" s="19">
        <v>52.8</v>
      </c>
      <c r="F89" s="19">
        <v>51.4</v>
      </c>
      <c r="G89" s="4"/>
      <c r="H89" s="4"/>
    </row>
    <row r="90" spans="1:8" ht="12.6" customHeight="1" x14ac:dyDescent="0.25">
      <c r="A90" s="12">
        <v>79</v>
      </c>
      <c r="B90" s="1"/>
      <c r="C90" s="15" t="s">
        <v>4</v>
      </c>
      <c r="D90" s="1"/>
      <c r="E90" s="19">
        <v>13.3</v>
      </c>
      <c r="F90" s="19">
        <v>12.9</v>
      </c>
      <c r="G90" s="4"/>
      <c r="H90" s="4"/>
    </row>
    <row r="91" spans="1:8" ht="12.6" customHeight="1" x14ac:dyDescent="0.25">
      <c r="A91" s="12">
        <v>80</v>
      </c>
      <c r="B91" s="1"/>
      <c r="C91" s="15" t="s">
        <v>5</v>
      </c>
      <c r="D91" s="1"/>
      <c r="E91" s="19">
        <v>10</v>
      </c>
      <c r="F91" s="19">
        <v>9.6999999999999993</v>
      </c>
      <c r="G91" s="4"/>
      <c r="H91" s="4"/>
    </row>
    <row r="92" spans="1:8" ht="12.6" customHeight="1" x14ac:dyDescent="0.25">
      <c r="A92" s="12">
        <v>81</v>
      </c>
      <c r="B92" s="1"/>
      <c r="C92" s="15" t="s">
        <v>7</v>
      </c>
      <c r="D92" s="1"/>
      <c r="E92" s="19">
        <v>10</v>
      </c>
      <c r="F92" s="19">
        <v>9.6999999999999993</v>
      </c>
      <c r="G92" s="4"/>
      <c r="H92" s="4"/>
    </row>
    <row r="93" spans="1:8" ht="12.6" customHeight="1" x14ac:dyDescent="0.25">
      <c r="A93" s="12">
        <v>82</v>
      </c>
      <c r="B93" s="1"/>
      <c r="C93" s="15" t="s">
        <v>6</v>
      </c>
      <c r="D93" s="1"/>
      <c r="E93" s="19">
        <v>10</v>
      </c>
      <c r="F93" s="19">
        <v>9.6999999999999993</v>
      </c>
      <c r="G93" s="4"/>
      <c r="H93" s="4"/>
    </row>
    <row r="94" spans="1:8" ht="12.6" customHeight="1" x14ac:dyDescent="0.25">
      <c r="A94" s="12">
        <v>83</v>
      </c>
      <c r="B94" s="1"/>
      <c r="C94" s="15" t="s">
        <v>9</v>
      </c>
      <c r="D94" s="1"/>
      <c r="E94" s="19">
        <v>6.6</v>
      </c>
      <c r="F94" s="19">
        <v>6.4</v>
      </c>
      <c r="G94" s="4"/>
      <c r="H94" s="4"/>
    </row>
    <row r="95" spans="1:8" ht="12.6" customHeight="1" x14ac:dyDescent="0.25">
      <c r="A95" s="12">
        <v>84</v>
      </c>
      <c r="B95" s="1"/>
      <c r="C95" s="16" t="s">
        <v>10</v>
      </c>
      <c r="D95" s="1"/>
      <c r="E95" s="19">
        <v>6.6</v>
      </c>
      <c r="F95" s="19">
        <v>6.4</v>
      </c>
      <c r="G95" s="4"/>
      <c r="H95" s="4"/>
    </row>
    <row r="96" spans="1:8" ht="12.6" customHeight="1" x14ac:dyDescent="0.25">
      <c r="A96" s="12">
        <v>85</v>
      </c>
      <c r="B96" s="1"/>
      <c r="C96" s="15" t="s">
        <v>12</v>
      </c>
      <c r="D96" s="1"/>
      <c r="E96" s="19">
        <v>6.6</v>
      </c>
      <c r="F96" s="19">
        <v>6.4</v>
      </c>
      <c r="G96" s="4"/>
      <c r="H96" s="4"/>
    </row>
    <row r="97" spans="1:8" ht="12.6" customHeight="1" x14ac:dyDescent="0.25">
      <c r="A97" s="12">
        <v>86</v>
      </c>
      <c r="B97" s="1"/>
      <c r="C97" s="15" t="s">
        <v>11</v>
      </c>
      <c r="D97" s="1"/>
      <c r="E97" s="19">
        <v>6.6</v>
      </c>
      <c r="F97" s="19">
        <v>6.4</v>
      </c>
      <c r="G97" s="4"/>
      <c r="H97" s="4"/>
    </row>
    <row r="98" spans="1:8" ht="12.6" customHeight="1" x14ac:dyDescent="0.25">
      <c r="A98" s="12">
        <v>87</v>
      </c>
      <c r="B98" s="1"/>
      <c r="C98" s="15" t="s">
        <v>13</v>
      </c>
      <c r="D98" s="1"/>
      <c r="E98" s="19">
        <v>6.6</v>
      </c>
      <c r="F98" s="19">
        <v>6.4</v>
      </c>
      <c r="G98" s="4"/>
      <c r="H98" s="4"/>
    </row>
    <row r="99" spans="1:8" ht="12.6" customHeight="1" x14ac:dyDescent="0.25">
      <c r="A99" s="12">
        <v>88</v>
      </c>
      <c r="B99" s="1"/>
      <c r="C99" s="15" t="s">
        <v>14</v>
      </c>
      <c r="D99" s="1"/>
      <c r="E99" s="19">
        <v>10</v>
      </c>
      <c r="F99" s="19">
        <v>9.6999999999999993</v>
      </c>
      <c r="G99" s="4"/>
      <c r="H99" s="4"/>
    </row>
    <row r="100" spans="1:8" ht="39.6" x14ac:dyDescent="0.25">
      <c r="A100" s="12">
        <v>89</v>
      </c>
      <c r="B100" s="1" t="s">
        <v>284</v>
      </c>
      <c r="C100" s="68" t="s">
        <v>376</v>
      </c>
      <c r="D100" s="1"/>
      <c r="E100" s="19">
        <f>+E101</f>
        <v>18.8</v>
      </c>
      <c r="F100" s="19">
        <f>+F101</f>
        <v>18.5</v>
      </c>
      <c r="G100" s="4"/>
      <c r="H100" s="4"/>
    </row>
    <row r="101" spans="1:8" ht="12.6" customHeight="1" x14ac:dyDescent="0.25">
      <c r="A101" s="12">
        <v>90</v>
      </c>
      <c r="B101" s="1"/>
      <c r="C101" s="53" t="s">
        <v>3</v>
      </c>
      <c r="D101" s="98" t="s">
        <v>374</v>
      </c>
      <c r="E101" s="19">
        <v>18.8</v>
      </c>
      <c r="F101" s="19">
        <v>18.5</v>
      </c>
      <c r="G101" s="4"/>
      <c r="H101" s="4"/>
    </row>
    <row r="102" spans="1:8" ht="26.4" x14ac:dyDescent="0.25">
      <c r="A102" s="12">
        <v>91</v>
      </c>
      <c r="B102" s="1" t="s">
        <v>377</v>
      </c>
      <c r="C102" s="68" t="s">
        <v>509</v>
      </c>
      <c r="D102" s="98"/>
      <c r="E102" s="19">
        <f>+E103</f>
        <v>0.3</v>
      </c>
      <c r="F102" s="19">
        <f>+F103</f>
        <v>0</v>
      </c>
      <c r="G102" s="4"/>
      <c r="H102" s="4"/>
    </row>
    <row r="103" spans="1:8" ht="12.6" customHeight="1" x14ac:dyDescent="0.25">
      <c r="A103" s="12">
        <v>92</v>
      </c>
      <c r="B103" s="1"/>
      <c r="C103" s="53" t="s">
        <v>3</v>
      </c>
      <c r="D103" s="1" t="s">
        <v>508</v>
      </c>
      <c r="E103" s="19">
        <v>0.3</v>
      </c>
      <c r="F103" s="19"/>
      <c r="G103" s="4"/>
      <c r="H103" s="4"/>
    </row>
    <row r="104" spans="1:8" ht="12.6" customHeight="1" x14ac:dyDescent="0.25">
      <c r="A104" s="12">
        <v>93</v>
      </c>
      <c r="B104" s="1"/>
      <c r="C104" s="145" t="s">
        <v>20</v>
      </c>
      <c r="D104" s="11"/>
      <c r="E104" s="42">
        <f>+E10+E17+E46+E64</f>
        <v>6173.1</v>
      </c>
      <c r="F104" s="42">
        <f>+F10+F17+F46+F64</f>
        <v>3597.9000000000005</v>
      </c>
      <c r="G104" s="4"/>
      <c r="H104" s="4"/>
    </row>
    <row r="105" spans="1:8" ht="10.5" customHeight="1" x14ac:dyDescent="0.25">
      <c r="E105" s="20"/>
      <c r="F105" s="20"/>
    </row>
    <row r="106" spans="1:8" x14ac:dyDescent="0.25">
      <c r="C106" s="3" t="s">
        <v>286</v>
      </c>
      <c r="D106" s="80"/>
      <c r="E106" s="20"/>
      <c r="F106" s="20"/>
    </row>
    <row r="107" spans="1:8" x14ac:dyDescent="0.25">
      <c r="E107" s="47"/>
      <c r="F107" s="47"/>
    </row>
    <row r="108" spans="1:8" x14ac:dyDescent="0.25">
      <c r="E108" s="20"/>
      <c r="F108" s="20"/>
    </row>
    <row r="109" spans="1:8" x14ac:dyDescent="0.25">
      <c r="E109" s="20"/>
      <c r="F109" s="20"/>
    </row>
    <row r="111" spans="1:8" x14ac:dyDescent="0.25">
      <c r="C111" s="147"/>
    </row>
    <row r="112" spans="1:8" x14ac:dyDescent="0.25">
      <c r="C112" s="147"/>
    </row>
    <row r="113" spans="3:3" x14ac:dyDescent="0.25">
      <c r="C113" s="5"/>
    </row>
  </sheetData>
  <mergeCells count="9">
    <mergeCell ref="A59:A60"/>
    <mergeCell ref="B59:B60"/>
    <mergeCell ref="D59:D60"/>
    <mergeCell ref="C1:F1"/>
    <mergeCell ref="C2:F2"/>
    <mergeCell ref="E3:F3"/>
    <mergeCell ref="A5:F5"/>
    <mergeCell ref="A23:A24"/>
    <mergeCell ref="B23:B24"/>
  </mergeCells>
  <pageMargins left="0.70866141732283472" right="0" top="0.74803149606299213" bottom="0.74803149606299213" header="0.31496062992125984" footer="0.31496062992125984"/>
  <pageSetup paperSize="9" orientation="portrait" r:id="rId1"/>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L201"/>
  <sheetViews>
    <sheetView workbookViewId="0">
      <selection activeCell="K8" sqref="K8"/>
    </sheetView>
  </sheetViews>
  <sheetFormatPr defaultColWidth="9.109375" defaultRowHeight="13.2" x14ac:dyDescent="0.25"/>
  <cols>
    <col min="1" max="1" width="4.6640625" style="3" customWidth="1"/>
    <col min="2" max="2" width="7" style="7" customWidth="1"/>
    <col min="3" max="3" width="48.109375" style="148" customWidth="1"/>
    <col min="4" max="4" width="10.5546875" style="6" customWidth="1"/>
    <col min="5" max="5" width="10.44140625" style="5" customWidth="1"/>
    <col min="6" max="6" width="11.33203125" style="5" customWidth="1"/>
    <col min="7" max="8" width="9.109375" style="4"/>
    <col min="9" max="16384" width="9.109375" style="2"/>
  </cols>
  <sheetData>
    <row r="1" spans="1:8" ht="15.6" x14ac:dyDescent="0.3">
      <c r="C1" s="174" t="s">
        <v>457</v>
      </c>
      <c r="D1" s="174"/>
      <c r="E1" s="174"/>
      <c r="F1" s="174"/>
    </row>
    <row r="2" spans="1:8" ht="15" customHeight="1" x14ac:dyDescent="0.3">
      <c r="C2" s="174" t="s">
        <v>851</v>
      </c>
      <c r="D2" s="174"/>
      <c r="E2" s="174"/>
      <c r="F2" s="174"/>
    </row>
    <row r="3" spans="1:8" ht="15.6" x14ac:dyDescent="0.3">
      <c r="C3" s="96"/>
      <c r="D3" s="96"/>
      <c r="E3" s="175" t="s">
        <v>456</v>
      </c>
      <c r="F3" s="175"/>
    </row>
    <row r="4" spans="1:8" ht="15.6" x14ac:dyDescent="0.25">
      <c r="E4" s="35"/>
      <c r="F4" s="35"/>
    </row>
    <row r="5" spans="1:8" ht="35.25" customHeight="1" x14ac:dyDescent="0.25">
      <c r="A5" s="197" t="s">
        <v>454</v>
      </c>
      <c r="B5" s="197"/>
      <c r="C5" s="197"/>
      <c r="D5" s="197"/>
      <c r="E5" s="197"/>
      <c r="F5" s="197"/>
    </row>
    <row r="6" spans="1:8" x14ac:dyDescent="0.25">
      <c r="A6" s="97"/>
      <c r="B6" s="97"/>
      <c r="C6" s="97"/>
      <c r="D6" s="97"/>
      <c r="E6" s="97"/>
      <c r="F6" s="97"/>
    </row>
    <row r="7" spans="1:8" x14ac:dyDescent="0.25">
      <c r="A7" s="149"/>
      <c r="B7" s="150"/>
      <c r="C7" s="151"/>
      <c r="D7" s="152"/>
      <c r="E7" s="153"/>
      <c r="F7" s="153"/>
    </row>
    <row r="8" spans="1:8" ht="39.6" x14ac:dyDescent="0.25">
      <c r="A8" s="8" t="s">
        <v>119</v>
      </c>
      <c r="B8" s="9" t="s">
        <v>455</v>
      </c>
      <c r="C8" s="8" t="s">
        <v>16</v>
      </c>
      <c r="D8" s="9" t="s">
        <v>55</v>
      </c>
      <c r="E8" s="8" t="s">
        <v>17</v>
      </c>
      <c r="F8" s="8" t="s">
        <v>29</v>
      </c>
    </row>
    <row r="9" spans="1:8" s="43" customFormat="1" ht="12.75" customHeight="1" x14ac:dyDescent="0.25">
      <c r="A9" s="10">
        <v>1</v>
      </c>
      <c r="B9" s="11" t="s">
        <v>18</v>
      </c>
      <c r="C9" s="8">
        <v>3</v>
      </c>
      <c r="D9" s="9">
        <v>4</v>
      </c>
      <c r="E9" s="8">
        <v>5</v>
      </c>
      <c r="F9" s="8">
        <v>6</v>
      </c>
      <c r="G9" s="118"/>
      <c r="H9" s="118"/>
    </row>
    <row r="10" spans="1:8" s="43" customFormat="1" ht="18" customHeight="1" x14ac:dyDescent="0.25">
      <c r="A10" s="12">
        <v>1</v>
      </c>
      <c r="B10" s="11" t="s">
        <v>56</v>
      </c>
      <c r="C10" s="13" t="s">
        <v>57</v>
      </c>
      <c r="D10" s="8"/>
      <c r="E10" s="44">
        <f>+E11+E14+E29+E86+E52+E54+E77+E79+E82</f>
        <v>1680.8</v>
      </c>
      <c r="F10" s="44">
        <f>+F11+F14+F29+F86+F52+F54+F77+F79+F82</f>
        <v>358.39999999999992</v>
      </c>
      <c r="G10" s="118"/>
      <c r="H10" s="118"/>
    </row>
    <row r="11" spans="1:8" ht="14.4" customHeight="1" x14ac:dyDescent="0.25">
      <c r="A11" s="12">
        <v>2</v>
      </c>
      <c r="B11" s="14" t="s">
        <v>368</v>
      </c>
      <c r="C11" s="154" t="s">
        <v>379</v>
      </c>
      <c r="D11" s="18"/>
      <c r="E11" s="143">
        <f>+E12+E13</f>
        <v>270.90000000000003</v>
      </c>
      <c r="F11" s="143">
        <f>+F12+F13</f>
        <v>8</v>
      </c>
    </row>
    <row r="12" spans="1:8" ht="12.6" customHeight="1" x14ac:dyDescent="0.25">
      <c r="A12" s="12">
        <v>3</v>
      </c>
      <c r="B12" s="1"/>
      <c r="C12" s="53" t="s">
        <v>232</v>
      </c>
      <c r="D12" s="14" t="s">
        <v>290</v>
      </c>
      <c r="E12" s="19">
        <v>262.8</v>
      </c>
      <c r="F12" s="19"/>
    </row>
    <row r="13" spans="1:8" ht="12.6" customHeight="1" x14ac:dyDescent="0.25">
      <c r="A13" s="12">
        <v>4</v>
      </c>
      <c r="B13" s="1"/>
      <c r="C13" s="16" t="s">
        <v>364</v>
      </c>
      <c r="D13" s="14" t="s">
        <v>365</v>
      </c>
      <c r="E13" s="19">
        <v>8.1</v>
      </c>
      <c r="F13" s="19">
        <v>8</v>
      </c>
    </row>
    <row r="14" spans="1:8" ht="52.8" x14ac:dyDescent="0.25">
      <c r="A14" s="12">
        <v>5</v>
      </c>
      <c r="B14" s="14" t="s">
        <v>369</v>
      </c>
      <c r="C14" s="154" t="s">
        <v>485</v>
      </c>
      <c r="D14" s="18"/>
      <c r="E14" s="143">
        <f>SUM(E15:E28)</f>
        <v>31.199999999999996</v>
      </c>
      <c r="F14" s="143">
        <f>SUM(F15:F28)</f>
        <v>31.199999999999996</v>
      </c>
    </row>
    <row r="15" spans="1:8" ht="12.6" customHeight="1" x14ac:dyDescent="0.25">
      <c r="A15" s="12">
        <v>6</v>
      </c>
      <c r="B15" s="1"/>
      <c r="C15" s="24" t="s">
        <v>46</v>
      </c>
      <c r="D15" s="1" t="s">
        <v>60</v>
      </c>
      <c r="E15" s="19">
        <v>2.4</v>
      </c>
      <c r="F15" s="19">
        <v>2.4</v>
      </c>
    </row>
    <row r="16" spans="1:8" ht="12.6" customHeight="1" x14ac:dyDescent="0.25">
      <c r="A16" s="12">
        <v>7</v>
      </c>
      <c r="B16" s="1"/>
      <c r="C16" s="15" t="s">
        <v>135</v>
      </c>
      <c r="D16" s="1" t="s">
        <v>60</v>
      </c>
      <c r="E16" s="19">
        <v>2.4</v>
      </c>
      <c r="F16" s="19">
        <v>2.4</v>
      </c>
    </row>
    <row r="17" spans="1:6" ht="12.6" customHeight="1" x14ac:dyDescent="0.25">
      <c r="A17" s="12">
        <v>8</v>
      </c>
      <c r="B17" s="1"/>
      <c r="C17" s="15" t="s">
        <v>136</v>
      </c>
      <c r="D17" s="1" t="s">
        <v>60</v>
      </c>
      <c r="E17" s="19">
        <v>2.4</v>
      </c>
      <c r="F17" s="19">
        <v>2.4</v>
      </c>
    </row>
    <row r="18" spans="1:6" ht="12.6" customHeight="1" x14ac:dyDescent="0.25">
      <c r="A18" s="12">
        <v>9</v>
      </c>
      <c r="B18" s="1"/>
      <c r="C18" s="15" t="s">
        <v>40</v>
      </c>
      <c r="D18" s="1" t="s">
        <v>60</v>
      </c>
      <c r="E18" s="19">
        <v>2.4</v>
      </c>
      <c r="F18" s="19">
        <v>2.4</v>
      </c>
    </row>
    <row r="19" spans="1:6" ht="12.6" customHeight="1" x14ac:dyDescent="0.25">
      <c r="A19" s="12">
        <v>10</v>
      </c>
      <c r="B19" s="1"/>
      <c r="C19" s="24" t="s">
        <v>139</v>
      </c>
      <c r="D19" s="1" t="s">
        <v>60</v>
      </c>
      <c r="E19" s="19">
        <v>2.4</v>
      </c>
      <c r="F19" s="19">
        <v>2.4</v>
      </c>
    </row>
    <row r="20" spans="1:6" ht="12.6" customHeight="1" x14ac:dyDescent="0.25">
      <c r="A20" s="12">
        <v>11</v>
      </c>
      <c r="B20" s="1"/>
      <c r="C20" s="15" t="s">
        <v>173</v>
      </c>
      <c r="D20" s="1" t="s">
        <v>61</v>
      </c>
      <c r="E20" s="19">
        <v>2.4</v>
      </c>
      <c r="F20" s="19">
        <v>2.4</v>
      </c>
    </row>
    <row r="21" spans="1:6" ht="12.6" customHeight="1" x14ac:dyDescent="0.25">
      <c r="A21" s="12">
        <v>12</v>
      </c>
      <c r="B21" s="1"/>
      <c r="C21" s="24" t="s">
        <v>174</v>
      </c>
      <c r="D21" s="14" t="s">
        <v>235</v>
      </c>
      <c r="E21" s="19">
        <v>2.4</v>
      </c>
      <c r="F21" s="19">
        <v>2.4</v>
      </c>
    </row>
    <row r="22" spans="1:6" ht="12.6" customHeight="1" x14ac:dyDescent="0.25">
      <c r="A22" s="12">
        <v>13</v>
      </c>
      <c r="B22" s="1"/>
      <c r="C22" s="15" t="s">
        <v>121</v>
      </c>
      <c r="D22" s="14" t="s">
        <v>235</v>
      </c>
      <c r="E22" s="19">
        <v>2.4</v>
      </c>
      <c r="F22" s="19">
        <v>2.4</v>
      </c>
    </row>
    <row r="23" spans="1:6" ht="12.6" customHeight="1" x14ac:dyDescent="0.25">
      <c r="A23" s="12">
        <v>14</v>
      </c>
      <c r="B23" s="1"/>
      <c r="C23" s="15" t="s">
        <v>137</v>
      </c>
      <c r="D23" s="1" t="s">
        <v>61</v>
      </c>
      <c r="E23" s="19">
        <v>1.8</v>
      </c>
      <c r="F23" s="19">
        <v>1.8</v>
      </c>
    </row>
    <row r="24" spans="1:6" ht="12.6" customHeight="1" x14ac:dyDescent="0.25">
      <c r="A24" s="12">
        <v>15</v>
      </c>
      <c r="B24" s="1"/>
      <c r="C24" s="15" t="s">
        <v>42</v>
      </c>
      <c r="D24" s="1" t="s">
        <v>61</v>
      </c>
      <c r="E24" s="19">
        <v>1.8</v>
      </c>
      <c r="F24" s="19">
        <v>1.8</v>
      </c>
    </row>
    <row r="25" spans="1:6" ht="26.4" x14ac:dyDescent="0.25">
      <c r="A25" s="12">
        <v>16</v>
      </c>
      <c r="B25" s="1"/>
      <c r="C25" s="15" t="s">
        <v>112</v>
      </c>
      <c r="D25" s="14" t="s">
        <v>289</v>
      </c>
      <c r="E25" s="19">
        <v>2.4</v>
      </c>
      <c r="F25" s="19">
        <v>2.4</v>
      </c>
    </row>
    <row r="26" spans="1:6" x14ac:dyDescent="0.25">
      <c r="A26" s="12">
        <v>17</v>
      </c>
      <c r="B26" s="1"/>
      <c r="C26" s="24" t="s">
        <v>54</v>
      </c>
      <c r="D26" s="1" t="s">
        <v>62</v>
      </c>
      <c r="E26" s="19">
        <v>1.2</v>
      </c>
      <c r="F26" s="19">
        <v>1.2</v>
      </c>
    </row>
    <row r="27" spans="1:6" x14ac:dyDescent="0.25">
      <c r="A27" s="12">
        <v>18</v>
      </c>
      <c r="B27" s="1"/>
      <c r="C27" s="24" t="s">
        <v>47</v>
      </c>
      <c r="D27" s="1" t="s">
        <v>62</v>
      </c>
      <c r="E27" s="19">
        <v>2.4</v>
      </c>
      <c r="F27" s="19">
        <v>2.4</v>
      </c>
    </row>
    <row r="28" spans="1:6" x14ac:dyDescent="0.25">
      <c r="A28" s="12">
        <v>19</v>
      </c>
      <c r="B28" s="1"/>
      <c r="C28" s="24" t="s">
        <v>48</v>
      </c>
      <c r="D28" s="1" t="s">
        <v>62</v>
      </c>
      <c r="E28" s="19">
        <v>2.4</v>
      </c>
      <c r="F28" s="19">
        <v>2.4</v>
      </c>
    </row>
    <row r="29" spans="1:6" ht="39.6" x14ac:dyDescent="0.25">
      <c r="A29" s="12">
        <v>20</v>
      </c>
      <c r="B29" s="1" t="s">
        <v>370</v>
      </c>
      <c r="C29" s="155" t="s">
        <v>592</v>
      </c>
      <c r="D29" s="14"/>
      <c r="E29" s="143">
        <f>SUM(E30:E51)</f>
        <v>208.99999999999997</v>
      </c>
      <c r="F29" s="143">
        <f>SUM(F30:F51)</f>
        <v>205.99999999999997</v>
      </c>
    </row>
    <row r="30" spans="1:6" x14ac:dyDescent="0.25">
      <c r="A30" s="12">
        <v>21</v>
      </c>
      <c r="B30" s="1"/>
      <c r="C30" s="24" t="s">
        <v>176</v>
      </c>
      <c r="D30" s="1" t="s">
        <v>58</v>
      </c>
      <c r="E30" s="19">
        <v>20.100000000000001</v>
      </c>
      <c r="F30" s="19">
        <v>19.8</v>
      </c>
    </row>
    <row r="31" spans="1:6" x14ac:dyDescent="0.25">
      <c r="A31" s="12">
        <v>22</v>
      </c>
      <c r="B31" s="1"/>
      <c r="C31" s="24" t="s">
        <v>167</v>
      </c>
      <c r="D31" s="1" t="s">
        <v>58</v>
      </c>
      <c r="E31" s="19">
        <v>17.899999999999999</v>
      </c>
      <c r="F31" s="19">
        <v>17.600000000000001</v>
      </c>
    </row>
    <row r="32" spans="1:6" x14ac:dyDescent="0.25">
      <c r="A32" s="12">
        <v>23</v>
      </c>
      <c r="B32" s="1"/>
      <c r="C32" s="24" t="s">
        <v>168</v>
      </c>
      <c r="D32" s="1" t="s">
        <v>58</v>
      </c>
      <c r="E32" s="19">
        <v>13.4</v>
      </c>
      <c r="F32" s="19">
        <v>13.2</v>
      </c>
    </row>
    <row r="33" spans="1:6" x14ac:dyDescent="0.25">
      <c r="A33" s="12">
        <v>24</v>
      </c>
      <c r="B33" s="1"/>
      <c r="C33" s="24" t="s">
        <v>172</v>
      </c>
      <c r="D33" s="1" t="s">
        <v>58</v>
      </c>
      <c r="E33" s="19">
        <v>9.1999999999999993</v>
      </c>
      <c r="F33" s="19">
        <v>9.1</v>
      </c>
    </row>
    <row r="34" spans="1:6" x14ac:dyDescent="0.25">
      <c r="A34" s="12">
        <v>25</v>
      </c>
      <c r="B34" s="1"/>
      <c r="C34" s="24" t="s">
        <v>169</v>
      </c>
      <c r="D34" s="1" t="s">
        <v>58</v>
      </c>
      <c r="E34" s="19">
        <v>14.5</v>
      </c>
      <c r="F34" s="19">
        <v>14.3</v>
      </c>
    </row>
    <row r="35" spans="1:6" x14ac:dyDescent="0.25">
      <c r="A35" s="12">
        <v>26</v>
      </c>
      <c r="B35" s="1"/>
      <c r="C35" s="24" t="s">
        <v>170</v>
      </c>
      <c r="D35" s="1" t="s">
        <v>58</v>
      </c>
      <c r="E35" s="19">
        <v>24.8</v>
      </c>
      <c r="F35" s="19">
        <v>24.5</v>
      </c>
    </row>
    <row r="36" spans="1:6" x14ac:dyDescent="0.25">
      <c r="A36" s="12">
        <v>27</v>
      </c>
      <c r="B36" s="1"/>
      <c r="C36" s="24" t="s">
        <v>171</v>
      </c>
      <c r="D36" s="1" t="s">
        <v>58</v>
      </c>
      <c r="E36" s="19">
        <v>17.7</v>
      </c>
      <c r="F36" s="19">
        <v>17.399999999999999</v>
      </c>
    </row>
    <row r="37" spans="1:6" x14ac:dyDescent="0.25">
      <c r="A37" s="12">
        <v>28</v>
      </c>
      <c r="B37" s="1"/>
      <c r="C37" s="15" t="s">
        <v>207</v>
      </c>
      <c r="D37" s="1" t="s">
        <v>59</v>
      </c>
      <c r="E37" s="19">
        <v>20.9</v>
      </c>
      <c r="F37" s="19">
        <v>20.6</v>
      </c>
    </row>
    <row r="38" spans="1:6" x14ac:dyDescent="0.25">
      <c r="A38" s="12">
        <v>29</v>
      </c>
      <c r="B38" s="1"/>
      <c r="C38" s="15" t="s">
        <v>135</v>
      </c>
      <c r="D38" s="1" t="s">
        <v>60</v>
      </c>
      <c r="E38" s="19">
        <v>11.3</v>
      </c>
      <c r="F38" s="19">
        <v>11.1</v>
      </c>
    </row>
    <row r="39" spans="1:6" x14ac:dyDescent="0.25">
      <c r="A39" s="12">
        <v>30</v>
      </c>
      <c r="B39" s="1"/>
      <c r="C39" s="15" t="s">
        <v>136</v>
      </c>
      <c r="D39" s="1" t="s">
        <v>60</v>
      </c>
      <c r="E39" s="19">
        <v>3.2</v>
      </c>
      <c r="F39" s="19">
        <v>3.2</v>
      </c>
    </row>
    <row r="40" spans="1:6" x14ac:dyDescent="0.25">
      <c r="A40" s="12">
        <v>31</v>
      </c>
      <c r="B40" s="1"/>
      <c r="C40" s="15" t="s">
        <v>40</v>
      </c>
      <c r="D40" s="1" t="s">
        <v>60</v>
      </c>
      <c r="E40" s="19">
        <v>11.2</v>
      </c>
      <c r="F40" s="19">
        <v>11</v>
      </c>
    </row>
    <row r="41" spans="1:6" x14ac:dyDescent="0.25">
      <c r="A41" s="12">
        <v>32</v>
      </c>
      <c r="B41" s="1"/>
      <c r="C41" s="24" t="s">
        <v>139</v>
      </c>
      <c r="D41" s="1" t="s">
        <v>60</v>
      </c>
      <c r="E41" s="19">
        <f>3.1+0.8</f>
        <v>3.9000000000000004</v>
      </c>
      <c r="F41" s="19">
        <f>3.1+0.8</f>
        <v>3.9000000000000004</v>
      </c>
    </row>
    <row r="42" spans="1:6" x14ac:dyDescent="0.25">
      <c r="A42" s="12">
        <v>33</v>
      </c>
      <c r="B42" s="1"/>
      <c r="C42" s="15" t="s">
        <v>173</v>
      </c>
      <c r="D42" s="1" t="s">
        <v>61</v>
      </c>
      <c r="E42" s="19">
        <v>4.3</v>
      </c>
      <c r="F42" s="19">
        <v>4.2</v>
      </c>
    </row>
    <row r="43" spans="1:6" x14ac:dyDescent="0.25">
      <c r="A43" s="12">
        <v>34</v>
      </c>
      <c r="B43" s="1"/>
      <c r="C43" s="24" t="s">
        <v>174</v>
      </c>
      <c r="D43" s="1" t="s">
        <v>61</v>
      </c>
      <c r="E43" s="19">
        <v>7.4</v>
      </c>
      <c r="F43" s="19">
        <v>7.3</v>
      </c>
    </row>
    <row r="44" spans="1:6" x14ac:dyDescent="0.25">
      <c r="A44" s="12">
        <v>35</v>
      </c>
      <c r="B44" s="1"/>
      <c r="C44" s="15" t="s">
        <v>121</v>
      </c>
      <c r="D44" s="1" t="s">
        <v>61</v>
      </c>
      <c r="E44" s="19">
        <v>4.2</v>
      </c>
      <c r="F44" s="19">
        <v>4.0999999999999996</v>
      </c>
    </row>
    <row r="45" spans="1:6" x14ac:dyDescent="0.25">
      <c r="A45" s="12">
        <v>36</v>
      </c>
      <c r="B45" s="1"/>
      <c r="C45" s="15" t="s">
        <v>41</v>
      </c>
      <c r="D45" s="1" t="s">
        <v>61</v>
      </c>
      <c r="E45" s="19">
        <v>0.7</v>
      </c>
      <c r="F45" s="19">
        <v>0.7</v>
      </c>
    </row>
    <row r="46" spans="1:6" x14ac:dyDescent="0.25">
      <c r="A46" s="12">
        <v>37</v>
      </c>
      <c r="B46" s="1"/>
      <c r="C46" s="15" t="s">
        <v>137</v>
      </c>
      <c r="D46" s="1" t="s">
        <v>61</v>
      </c>
      <c r="E46" s="19">
        <v>18.2</v>
      </c>
      <c r="F46" s="19">
        <v>17.899999999999999</v>
      </c>
    </row>
    <row r="47" spans="1:6" x14ac:dyDescent="0.25">
      <c r="A47" s="12">
        <v>38</v>
      </c>
      <c r="B47" s="1"/>
      <c r="C47" s="15" t="s">
        <v>152</v>
      </c>
      <c r="D47" s="1" t="s">
        <v>61</v>
      </c>
      <c r="E47" s="19">
        <v>1.4</v>
      </c>
      <c r="F47" s="19">
        <v>1.4</v>
      </c>
    </row>
    <row r="48" spans="1:6" x14ac:dyDescent="0.25">
      <c r="A48" s="12">
        <v>39</v>
      </c>
      <c r="B48" s="1"/>
      <c r="C48" s="15" t="s">
        <v>42</v>
      </c>
      <c r="D48" s="1" t="s">
        <v>61</v>
      </c>
      <c r="E48" s="19">
        <v>2.2000000000000002</v>
      </c>
      <c r="F48" s="19">
        <v>2.2000000000000002</v>
      </c>
    </row>
    <row r="49" spans="1:12" x14ac:dyDescent="0.25">
      <c r="A49" s="12">
        <v>40</v>
      </c>
      <c r="B49" s="1"/>
      <c r="C49" s="15" t="s">
        <v>138</v>
      </c>
      <c r="D49" s="1" t="s">
        <v>61</v>
      </c>
      <c r="E49" s="19">
        <f>0.8-0.8</f>
        <v>0</v>
      </c>
      <c r="F49" s="19">
        <f>0.8-0.8</f>
        <v>0</v>
      </c>
    </row>
    <row r="50" spans="1:12" x14ac:dyDescent="0.25">
      <c r="A50" s="12">
        <v>41</v>
      </c>
      <c r="B50" s="1"/>
      <c r="C50" s="156" t="s">
        <v>15</v>
      </c>
      <c r="D50" s="1" t="s">
        <v>58</v>
      </c>
      <c r="E50" s="19">
        <v>1.9</v>
      </c>
      <c r="F50" s="19">
        <v>1.9</v>
      </c>
      <c r="L50" s="30"/>
    </row>
    <row r="51" spans="1:12" x14ac:dyDescent="0.25">
      <c r="A51" s="12">
        <v>42</v>
      </c>
      <c r="B51" s="1"/>
      <c r="C51" s="156" t="s">
        <v>19</v>
      </c>
      <c r="D51" s="1" t="s">
        <v>58</v>
      </c>
      <c r="E51" s="19">
        <v>0.6</v>
      </c>
      <c r="F51" s="19">
        <v>0.6</v>
      </c>
    </row>
    <row r="52" spans="1:12" ht="39.6" x14ac:dyDescent="0.25">
      <c r="A52" s="12">
        <v>43</v>
      </c>
      <c r="B52" s="1" t="s">
        <v>573</v>
      </c>
      <c r="C52" s="68" t="s">
        <v>447</v>
      </c>
      <c r="D52" s="14"/>
      <c r="E52" s="19">
        <f>+E53</f>
        <v>3.2</v>
      </c>
      <c r="F52" s="19">
        <f>+F53</f>
        <v>0</v>
      </c>
    </row>
    <row r="53" spans="1:12" x14ac:dyDescent="0.25">
      <c r="A53" s="12">
        <v>44</v>
      </c>
      <c r="B53" s="1"/>
      <c r="C53" s="24" t="s">
        <v>170</v>
      </c>
      <c r="D53" s="1" t="s">
        <v>58</v>
      </c>
      <c r="E53" s="19">
        <v>3.2</v>
      </c>
      <c r="F53" s="19"/>
    </row>
    <row r="54" spans="1:12" ht="39.6" x14ac:dyDescent="0.25">
      <c r="A54" s="12">
        <v>45</v>
      </c>
      <c r="B54" s="1" t="s">
        <v>574</v>
      </c>
      <c r="C54" s="68" t="s">
        <v>649</v>
      </c>
      <c r="D54" s="1"/>
      <c r="E54" s="19">
        <f>SUM(E55:E76)</f>
        <v>122.70000000000002</v>
      </c>
      <c r="F54" s="19">
        <f>SUM(F55:F76)</f>
        <v>106.29999999999998</v>
      </c>
    </row>
    <row r="55" spans="1:12" x14ac:dyDescent="0.25">
      <c r="A55" s="12">
        <v>46</v>
      </c>
      <c r="B55" s="1"/>
      <c r="C55" s="24" t="s">
        <v>176</v>
      </c>
      <c r="D55" s="1" t="s">
        <v>58</v>
      </c>
      <c r="E55" s="19">
        <f>0.4+0.5+0.5+2.2+1+1.9+1.8</f>
        <v>8.3000000000000007</v>
      </c>
      <c r="F55" s="19">
        <f>0.4+0.5+0.4+2.2+1</f>
        <v>4.5</v>
      </c>
      <c r="G55" s="20"/>
    </row>
    <row r="56" spans="1:12" x14ac:dyDescent="0.25">
      <c r="A56" s="12">
        <v>47</v>
      </c>
      <c r="B56" s="1"/>
      <c r="C56" s="24" t="s">
        <v>167</v>
      </c>
      <c r="D56" s="1" t="s">
        <v>58</v>
      </c>
      <c r="E56" s="19">
        <f>0.2+0.4+0.9+0.4+0.6+0.6</f>
        <v>3.1</v>
      </c>
      <c r="F56" s="19">
        <f>0.2+0.4+0.9+0.4</f>
        <v>1.9</v>
      </c>
      <c r="G56" s="20"/>
    </row>
    <row r="57" spans="1:12" x14ac:dyDescent="0.25">
      <c r="A57" s="12">
        <v>48</v>
      </c>
      <c r="B57" s="1"/>
      <c r="C57" s="24" t="s">
        <v>168</v>
      </c>
      <c r="D57" s="1" t="s">
        <v>58</v>
      </c>
      <c r="E57" s="19">
        <f>0.1+0.1+0.7+1.5+0.4+0.6+0.6</f>
        <v>4</v>
      </c>
      <c r="F57" s="19">
        <f>0.1+0.1+0.7+1.5+0.4</f>
        <v>2.8</v>
      </c>
      <c r="G57" s="20"/>
    </row>
    <row r="58" spans="1:12" x14ac:dyDescent="0.25">
      <c r="A58" s="12">
        <v>49</v>
      </c>
      <c r="B58" s="1"/>
      <c r="C58" s="24" t="s">
        <v>169</v>
      </c>
      <c r="D58" s="1" t="s">
        <v>58</v>
      </c>
      <c r="E58" s="19">
        <f>0.1+0.3+0.1+0.5+0.4</f>
        <v>1.4</v>
      </c>
      <c r="F58" s="19">
        <f>0.1+0.3+0.1</f>
        <v>0.5</v>
      </c>
      <c r="G58" s="20"/>
    </row>
    <row r="59" spans="1:12" x14ac:dyDescent="0.25">
      <c r="A59" s="12">
        <v>50</v>
      </c>
      <c r="B59" s="1"/>
      <c r="C59" s="24" t="s">
        <v>170</v>
      </c>
      <c r="D59" s="1" t="s">
        <v>58</v>
      </c>
      <c r="E59" s="19">
        <f>0.1+0.2+0.4+0.8+0.5+0.6+1</f>
        <v>3.6</v>
      </c>
      <c r="F59" s="19">
        <f>0.1+0.2+0.4+0.8+0.5+0.3</f>
        <v>2.2999999999999998</v>
      </c>
      <c r="G59" s="20"/>
    </row>
    <row r="60" spans="1:12" x14ac:dyDescent="0.25">
      <c r="A60" s="12">
        <v>51</v>
      </c>
      <c r="B60" s="1"/>
      <c r="C60" s="24" t="s">
        <v>171</v>
      </c>
      <c r="D60" s="1" t="s">
        <v>58</v>
      </c>
      <c r="E60" s="19">
        <f>0.1+0.2+0.4+0.7+0.2+0.5+0.7</f>
        <v>2.8</v>
      </c>
      <c r="F60" s="19">
        <f>0.1+0.2+0.4+0.7+0.2</f>
        <v>1.5999999999999999</v>
      </c>
      <c r="G60" s="20"/>
    </row>
    <row r="61" spans="1:12" x14ac:dyDescent="0.25">
      <c r="A61" s="12">
        <v>52</v>
      </c>
      <c r="B61" s="1"/>
      <c r="C61" s="15" t="s">
        <v>207</v>
      </c>
      <c r="D61" s="1" t="s">
        <v>59</v>
      </c>
      <c r="E61" s="19">
        <f>0.3+0.2</f>
        <v>0.5</v>
      </c>
      <c r="F61" s="19">
        <f>0.3+0.2</f>
        <v>0.5</v>
      </c>
      <c r="G61" s="20"/>
    </row>
    <row r="62" spans="1:12" x14ac:dyDescent="0.25">
      <c r="A62" s="12">
        <v>53</v>
      </c>
      <c r="B62" s="1"/>
      <c r="C62" s="24" t="s">
        <v>175</v>
      </c>
      <c r="D62" s="1" t="s">
        <v>60</v>
      </c>
      <c r="E62" s="19">
        <f>1.8+2+3.8+3+0.3+1</f>
        <v>11.9</v>
      </c>
      <c r="F62" s="19">
        <f>1.7+1.9+3.9+3+0.3+1</f>
        <v>11.8</v>
      </c>
      <c r="G62" s="20"/>
    </row>
    <row r="63" spans="1:12" ht="26.4" x14ac:dyDescent="0.25">
      <c r="A63" s="12">
        <v>54</v>
      </c>
      <c r="B63" s="1"/>
      <c r="C63" s="24" t="s">
        <v>46</v>
      </c>
      <c r="D63" s="14" t="s">
        <v>120</v>
      </c>
      <c r="E63" s="19">
        <f>0.2+0.3+0.3</f>
        <v>0.8</v>
      </c>
      <c r="F63" s="19">
        <f>0.2+0.3+0.3</f>
        <v>0.8</v>
      </c>
      <c r="G63" s="34"/>
    </row>
    <row r="64" spans="1:12" x14ac:dyDescent="0.25">
      <c r="A64" s="12">
        <v>55</v>
      </c>
      <c r="B64" s="1"/>
      <c r="C64" s="15" t="s">
        <v>135</v>
      </c>
      <c r="D64" s="1" t="s">
        <v>60</v>
      </c>
      <c r="E64" s="19">
        <f>0.9+0.9+2.9+2.5+0.1+0.2+0.1</f>
        <v>7.6</v>
      </c>
      <c r="F64" s="19">
        <f>0.9+0.9+2.8+2.5+0.1</f>
        <v>7.1999999999999993</v>
      </c>
      <c r="G64" s="20"/>
    </row>
    <row r="65" spans="1:7" x14ac:dyDescent="0.25">
      <c r="A65" s="12">
        <v>56</v>
      </c>
      <c r="B65" s="1"/>
      <c r="C65" s="15" t="s">
        <v>136</v>
      </c>
      <c r="D65" s="1" t="s">
        <v>60</v>
      </c>
      <c r="E65" s="19">
        <f>0.5+1.1+0.8+0.2+0.1</f>
        <v>2.7000000000000006</v>
      </c>
      <c r="F65" s="19">
        <f>0.5+1.1+0.8</f>
        <v>2.4000000000000004</v>
      </c>
      <c r="G65" s="20"/>
    </row>
    <row r="66" spans="1:7" x14ac:dyDescent="0.25">
      <c r="A66" s="12">
        <v>57</v>
      </c>
      <c r="B66" s="1"/>
      <c r="C66" s="15" t="s">
        <v>40</v>
      </c>
      <c r="D66" s="1" t="s">
        <v>60</v>
      </c>
      <c r="E66" s="19">
        <f>0.4+0.6+1+1+0.3+0.3+0.3</f>
        <v>3.8999999999999995</v>
      </c>
      <c r="F66" s="19">
        <f>0.4+0.6+1+1+0.2</f>
        <v>3.2</v>
      </c>
      <c r="G66" s="20"/>
    </row>
    <row r="67" spans="1:7" x14ac:dyDescent="0.25">
      <c r="A67" s="12">
        <v>58</v>
      </c>
      <c r="B67" s="1"/>
      <c r="C67" s="24" t="s">
        <v>139</v>
      </c>
      <c r="D67" s="1" t="s">
        <v>60</v>
      </c>
      <c r="E67" s="19">
        <f>0.5+0.5+1.1+0.9+1.3+0.5+0.8</f>
        <v>5.6</v>
      </c>
      <c r="F67" s="19">
        <f>0.5+0.5+1.1+0.8+1.3+0.3+0.5</f>
        <v>5</v>
      </c>
      <c r="G67" s="20"/>
    </row>
    <row r="68" spans="1:7" x14ac:dyDescent="0.25">
      <c r="A68" s="12">
        <v>59</v>
      </c>
      <c r="B68" s="1"/>
      <c r="C68" s="15" t="s">
        <v>173</v>
      </c>
      <c r="D68" s="1" t="s">
        <v>61</v>
      </c>
      <c r="E68" s="19">
        <f>0.9+2+4.9+3.9+0.8+1.1</f>
        <v>13.600000000000001</v>
      </c>
      <c r="F68" s="19">
        <f>0.9+1.9+4.8+3.9+0.8+1</f>
        <v>13.3</v>
      </c>
      <c r="G68" s="34"/>
    </row>
    <row r="69" spans="1:7" x14ac:dyDescent="0.25">
      <c r="A69" s="12">
        <v>60</v>
      </c>
      <c r="B69" s="1"/>
      <c r="C69" s="24" t="s">
        <v>174</v>
      </c>
      <c r="D69" s="1" t="s">
        <v>61</v>
      </c>
      <c r="E69" s="19">
        <f>0.2+0.5+2.5+1.9+0.5+1.6</f>
        <v>7.1999999999999993</v>
      </c>
      <c r="F69" s="19">
        <f>0.2+0.5+2.4+1.9+0.5+1.6</f>
        <v>7.1</v>
      </c>
      <c r="G69" s="20"/>
    </row>
    <row r="70" spans="1:7" x14ac:dyDescent="0.25">
      <c r="A70" s="12">
        <v>61</v>
      </c>
      <c r="B70" s="1"/>
      <c r="C70" s="15" t="s">
        <v>121</v>
      </c>
      <c r="D70" s="1" t="s">
        <v>61</v>
      </c>
      <c r="E70" s="19">
        <f>2.4+3.1+6.8+5.2+0.3+0.6+0.5</f>
        <v>18.900000000000002</v>
      </c>
      <c r="F70" s="19">
        <f>2.3+3.1+6.8+5+0.3</f>
        <v>17.5</v>
      </c>
      <c r="G70" s="20"/>
    </row>
    <row r="71" spans="1:7" x14ac:dyDescent="0.25">
      <c r="A71" s="12">
        <v>62</v>
      </c>
      <c r="B71" s="1"/>
      <c r="C71" s="15" t="s">
        <v>137</v>
      </c>
      <c r="D71" s="1" t="s">
        <v>61</v>
      </c>
      <c r="E71" s="19">
        <f>1.8+2.7+4.3+3.9+0.6+1+0.9</f>
        <v>15.200000000000001</v>
      </c>
      <c r="F71" s="19">
        <f>1.8+2.7+4.2+3.8+0.6</f>
        <v>13.1</v>
      </c>
      <c r="G71" s="20"/>
    </row>
    <row r="72" spans="1:7" x14ac:dyDescent="0.25">
      <c r="A72" s="12">
        <v>63</v>
      </c>
      <c r="B72" s="1"/>
      <c r="C72" s="15" t="s">
        <v>152</v>
      </c>
      <c r="D72" s="1" t="s">
        <v>61</v>
      </c>
      <c r="E72" s="19">
        <f>0.2+0.3+0.3</f>
        <v>0.8</v>
      </c>
      <c r="F72" s="19">
        <f>0.2+0.3+0.3</f>
        <v>0.8</v>
      </c>
      <c r="G72" s="20"/>
    </row>
    <row r="73" spans="1:7" x14ac:dyDescent="0.25">
      <c r="A73" s="12">
        <v>64</v>
      </c>
      <c r="B73" s="1"/>
      <c r="C73" s="15" t="s">
        <v>42</v>
      </c>
      <c r="D73" s="1" t="s">
        <v>61</v>
      </c>
      <c r="E73" s="19">
        <f>1.7+1.7+1.6+0.8</f>
        <v>5.8</v>
      </c>
      <c r="F73" s="19">
        <f>1.7+1.7+0.5+1.8</f>
        <v>5.7</v>
      </c>
      <c r="G73" s="20"/>
    </row>
    <row r="74" spans="1:7" x14ac:dyDescent="0.25">
      <c r="A74" s="12">
        <v>65</v>
      </c>
      <c r="B74" s="1"/>
      <c r="C74" s="15" t="s">
        <v>138</v>
      </c>
      <c r="D74" s="1" t="s">
        <v>61</v>
      </c>
      <c r="E74" s="19">
        <f>0.8+1.6</f>
        <v>2.4000000000000004</v>
      </c>
      <c r="F74" s="19">
        <f>0.8+1.5</f>
        <v>2.2999999999999998</v>
      </c>
      <c r="G74" s="20"/>
    </row>
    <row r="75" spans="1:7" x14ac:dyDescent="0.25">
      <c r="A75" s="12">
        <v>66</v>
      </c>
      <c r="B75" s="1"/>
      <c r="C75" s="156" t="s">
        <v>15</v>
      </c>
      <c r="D75" s="1" t="s">
        <v>58</v>
      </c>
      <c r="E75" s="19">
        <f>0.1+0.1+0.5+0.2+0.3+0.3</f>
        <v>1.5</v>
      </c>
      <c r="F75" s="19">
        <f>0.1+0.1+0.5+0.2</f>
        <v>0.89999999999999991</v>
      </c>
      <c r="G75" s="20"/>
    </row>
    <row r="76" spans="1:7" x14ac:dyDescent="0.25">
      <c r="A76" s="12">
        <v>67</v>
      </c>
      <c r="B76" s="1"/>
      <c r="C76" s="156" t="s">
        <v>19</v>
      </c>
      <c r="D76" s="1" t="s">
        <v>58</v>
      </c>
      <c r="E76" s="19">
        <f>0.2+0.2+0.3+0.1+0.3</f>
        <v>1.0999999999999999</v>
      </c>
      <c r="F76" s="19">
        <f>0.2+0.2+0.3+0.1+0.3</f>
        <v>1.0999999999999999</v>
      </c>
      <c r="G76" s="20"/>
    </row>
    <row r="77" spans="1:7" ht="52.8" x14ac:dyDescent="0.25">
      <c r="A77" s="12">
        <v>68</v>
      </c>
      <c r="B77" s="1" t="s">
        <v>650</v>
      </c>
      <c r="C77" s="68" t="s">
        <v>651</v>
      </c>
      <c r="D77" s="1"/>
      <c r="E77" s="19">
        <f>+E78</f>
        <v>7</v>
      </c>
      <c r="F77" s="19">
        <f>+F78</f>
        <v>6.9</v>
      </c>
    </row>
    <row r="78" spans="1:7" x14ac:dyDescent="0.25">
      <c r="A78" s="12">
        <v>69</v>
      </c>
      <c r="B78" s="1"/>
      <c r="C78" s="24" t="s">
        <v>47</v>
      </c>
      <c r="D78" s="1" t="s">
        <v>62</v>
      </c>
      <c r="E78" s="19">
        <v>7</v>
      </c>
      <c r="F78" s="19">
        <v>6.9</v>
      </c>
    </row>
    <row r="79" spans="1:7" ht="39.6" x14ac:dyDescent="0.25">
      <c r="A79" s="12">
        <v>70</v>
      </c>
      <c r="B79" s="1" t="s">
        <v>653</v>
      </c>
      <c r="C79" s="68" t="s">
        <v>652</v>
      </c>
      <c r="D79" s="1"/>
      <c r="E79" s="19">
        <f>SUM(E80:E81)</f>
        <v>43</v>
      </c>
      <c r="F79" s="19">
        <f>SUM(F80:F81)</f>
        <v>0</v>
      </c>
    </row>
    <row r="80" spans="1:7" x14ac:dyDescent="0.25">
      <c r="A80" s="12">
        <v>71</v>
      </c>
      <c r="B80" s="1"/>
      <c r="C80" s="15" t="s">
        <v>40</v>
      </c>
      <c r="D80" s="1" t="s">
        <v>60</v>
      </c>
      <c r="E80" s="19">
        <v>6.4</v>
      </c>
      <c r="F80" s="19">
        <f>6.3-6.3</f>
        <v>0</v>
      </c>
    </row>
    <row r="81" spans="1:6" x14ac:dyDescent="0.25">
      <c r="A81" s="12">
        <v>72</v>
      </c>
      <c r="B81" s="1"/>
      <c r="C81" s="15" t="s">
        <v>138</v>
      </c>
      <c r="D81" s="1" t="s">
        <v>61</v>
      </c>
      <c r="E81" s="19">
        <v>36.6</v>
      </c>
      <c r="F81" s="19">
        <f>36.1-36.1</f>
        <v>0</v>
      </c>
    </row>
    <row r="82" spans="1:6" ht="26.4" x14ac:dyDescent="0.25">
      <c r="A82" s="12">
        <v>73</v>
      </c>
      <c r="B82" s="1" t="s">
        <v>654</v>
      </c>
      <c r="C82" s="68" t="s">
        <v>655</v>
      </c>
      <c r="D82" s="1"/>
      <c r="E82" s="19">
        <f>+E83+E84+E85</f>
        <v>138.80000000000001</v>
      </c>
      <c r="F82" s="19">
        <f>+F83+F84+F85</f>
        <v>0</v>
      </c>
    </row>
    <row r="83" spans="1:6" x14ac:dyDescent="0.25">
      <c r="A83" s="12">
        <v>74</v>
      </c>
      <c r="B83" s="1"/>
      <c r="C83" s="15" t="s">
        <v>40</v>
      </c>
      <c r="D83" s="1" t="s">
        <v>60</v>
      </c>
      <c r="E83" s="19">
        <v>14</v>
      </c>
      <c r="F83" s="19"/>
    </row>
    <row r="84" spans="1:6" x14ac:dyDescent="0.25">
      <c r="A84" s="12">
        <v>75</v>
      </c>
      <c r="B84" s="1"/>
      <c r="C84" s="24" t="s">
        <v>139</v>
      </c>
      <c r="D84" s="1" t="s">
        <v>60</v>
      </c>
      <c r="E84" s="19">
        <f>37.8+25</f>
        <v>62.8</v>
      </c>
      <c r="F84" s="19"/>
    </row>
    <row r="85" spans="1:6" x14ac:dyDescent="0.25">
      <c r="A85" s="12">
        <v>76</v>
      </c>
      <c r="B85" s="1"/>
      <c r="C85" s="15" t="s">
        <v>121</v>
      </c>
      <c r="D85" s="1" t="s">
        <v>61</v>
      </c>
      <c r="E85" s="19">
        <v>62</v>
      </c>
      <c r="F85" s="19"/>
    </row>
    <row r="86" spans="1:6" ht="26.4" x14ac:dyDescent="0.25">
      <c r="A86" s="12">
        <v>77</v>
      </c>
      <c r="B86" s="1" t="s">
        <v>656</v>
      </c>
      <c r="C86" s="154" t="s">
        <v>567</v>
      </c>
      <c r="D86" s="18"/>
      <c r="E86" s="143">
        <f>+E87</f>
        <v>855</v>
      </c>
      <c r="F86" s="143">
        <f>+F87</f>
        <v>0</v>
      </c>
    </row>
    <row r="87" spans="1:6" x14ac:dyDescent="0.25">
      <c r="A87" s="12">
        <v>78</v>
      </c>
      <c r="B87" s="1"/>
      <c r="C87" s="15" t="s">
        <v>364</v>
      </c>
      <c r="D87" s="1"/>
      <c r="E87" s="19">
        <f>+E88</f>
        <v>855</v>
      </c>
      <c r="F87" s="19">
        <f>+F88</f>
        <v>0</v>
      </c>
    </row>
    <row r="88" spans="1:6" ht="26.4" x14ac:dyDescent="0.25">
      <c r="A88" s="12">
        <v>79</v>
      </c>
      <c r="B88" s="1"/>
      <c r="C88" s="53" t="s">
        <v>464</v>
      </c>
      <c r="D88" s="1" t="s">
        <v>60</v>
      </c>
      <c r="E88" s="19">
        <f>474+381</f>
        <v>855</v>
      </c>
      <c r="F88" s="19"/>
    </row>
    <row r="89" spans="1:6" x14ac:dyDescent="0.25">
      <c r="A89" s="12">
        <v>80</v>
      </c>
      <c r="B89" s="9" t="s">
        <v>65</v>
      </c>
      <c r="C89" s="13" t="s">
        <v>66</v>
      </c>
      <c r="D89" s="65"/>
      <c r="E89" s="65">
        <f>+E90</f>
        <v>50</v>
      </c>
      <c r="F89" s="65">
        <f>+F90</f>
        <v>0</v>
      </c>
    </row>
    <row r="90" spans="1:6" ht="39.6" x14ac:dyDescent="0.25">
      <c r="A90" s="12">
        <v>81</v>
      </c>
      <c r="B90" s="1" t="s">
        <v>239</v>
      </c>
      <c r="C90" s="154" t="s">
        <v>657</v>
      </c>
      <c r="D90" s="1"/>
      <c r="E90" s="19">
        <f>+E91</f>
        <v>50</v>
      </c>
      <c r="F90" s="19">
        <f>+F91</f>
        <v>0</v>
      </c>
    </row>
    <row r="91" spans="1:6" x14ac:dyDescent="0.25">
      <c r="A91" s="12">
        <v>82</v>
      </c>
      <c r="B91" s="1"/>
      <c r="C91" s="67" t="s">
        <v>233</v>
      </c>
      <c r="D91" s="14" t="s">
        <v>236</v>
      </c>
      <c r="E91" s="19">
        <v>50</v>
      </c>
      <c r="F91" s="19"/>
    </row>
    <row r="92" spans="1:6" ht="18" customHeight="1" x14ac:dyDescent="0.25">
      <c r="A92" s="12">
        <v>83</v>
      </c>
      <c r="B92" s="11" t="s">
        <v>21</v>
      </c>
      <c r="C92" s="17" t="s">
        <v>22</v>
      </c>
      <c r="D92" s="14"/>
      <c r="E92" s="65">
        <f>+E93+E98+E100+E114+E116+E133+E137+E139+E144+E146+E148+E102+E136+E150+E152</f>
        <v>1570.6000000000001</v>
      </c>
      <c r="F92" s="65">
        <f>+F93+F98+F100+F114+F116+F133+F137+F139+F144+F146+F148+F102+F136+F150+F152</f>
        <v>177.70000000000007</v>
      </c>
    </row>
    <row r="93" spans="1:6" ht="52.8" x14ac:dyDescent="0.25">
      <c r="A93" s="12">
        <v>84</v>
      </c>
      <c r="B93" s="1" t="s">
        <v>244</v>
      </c>
      <c r="C93" s="154" t="s">
        <v>485</v>
      </c>
      <c r="D93" s="14"/>
      <c r="E93" s="143">
        <f>+E94+E95+E96+E97</f>
        <v>11.5</v>
      </c>
      <c r="F93" s="143">
        <f>+F94+F95+F96+F97</f>
        <v>11.399999999999999</v>
      </c>
    </row>
    <row r="94" spans="1:6" ht="12.6" customHeight="1" x14ac:dyDescent="0.25">
      <c r="A94" s="12">
        <v>85</v>
      </c>
      <c r="B94" s="1"/>
      <c r="C94" s="16" t="s">
        <v>1</v>
      </c>
      <c r="D94" s="157" t="s">
        <v>572</v>
      </c>
      <c r="E94" s="19">
        <v>2.4</v>
      </c>
      <c r="F94" s="19">
        <v>2.4</v>
      </c>
    </row>
    <row r="95" spans="1:6" ht="12.6" customHeight="1" x14ac:dyDescent="0.25">
      <c r="A95" s="12">
        <v>86</v>
      </c>
      <c r="B95" s="1"/>
      <c r="C95" s="66" t="s">
        <v>153</v>
      </c>
      <c r="D95" s="14" t="s">
        <v>23</v>
      </c>
      <c r="E95" s="19">
        <v>2.4</v>
      </c>
      <c r="F95" s="19">
        <v>2.4</v>
      </c>
    </row>
    <row r="96" spans="1:6" ht="12.6" customHeight="1" x14ac:dyDescent="0.25">
      <c r="A96" s="12">
        <v>87</v>
      </c>
      <c r="B96" s="1"/>
      <c r="C96" s="156" t="s">
        <v>15</v>
      </c>
      <c r="D96" s="14" t="s">
        <v>104</v>
      </c>
      <c r="E96" s="19">
        <v>2.4</v>
      </c>
      <c r="F96" s="19">
        <v>2.4</v>
      </c>
    </row>
    <row r="97" spans="1:11" ht="12.6" customHeight="1" x14ac:dyDescent="0.25">
      <c r="A97" s="12">
        <v>88</v>
      </c>
      <c r="B97" s="1"/>
      <c r="C97" s="156" t="s">
        <v>19</v>
      </c>
      <c r="D97" s="23" t="s">
        <v>72</v>
      </c>
      <c r="E97" s="19">
        <v>4.3</v>
      </c>
      <c r="F97" s="19">
        <v>4.2</v>
      </c>
    </row>
    <row r="98" spans="1:11" ht="26.4" x14ac:dyDescent="0.25">
      <c r="A98" s="12">
        <v>89</v>
      </c>
      <c r="B98" s="1" t="s">
        <v>247</v>
      </c>
      <c r="C98" s="154" t="s">
        <v>380</v>
      </c>
      <c r="D98" s="14"/>
      <c r="E98" s="143">
        <f>+E99</f>
        <v>150.89999999999998</v>
      </c>
      <c r="F98" s="143">
        <f>+F99</f>
        <v>4.3000000000000007</v>
      </c>
    </row>
    <row r="99" spans="1:11" x14ac:dyDescent="0.25">
      <c r="A99" s="12">
        <v>90</v>
      </c>
      <c r="B99" s="1"/>
      <c r="C99" s="33" t="s">
        <v>3</v>
      </c>
      <c r="D99" s="14" t="s">
        <v>23</v>
      </c>
      <c r="E99" s="19">
        <f>134.6+15.6+0.7</f>
        <v>150.89999999999998</v>
      </c>
      <c r="F99" s="19">
        <f>1.7+2.7-0.1</f>
        <v>4.3000000000000007</v>
      </c>
    </row>
    <row r="100" spans="1:11" ht="52.8" x14ac:dyDescent="0.25">
      <c r="A100" s="12">
        <v>91</v>
      </c>
      <c r="B100" s="1" t="s">
        <v>249</v>
      </c>
      <c r="C100" s="155" t="s">
        <v>617</v>
      </c>
      <c r="D100" s="14"/>
      <c r="E100" s="143">
        <f>+E101</f>
        <v>371.2</v>
      </c>
      <c r="F100" s="143">
        <f>+F101</f>
        <v>0</v>
      </c>
    </row>
    <row r="101" spans="1:11" x14ac:dyDescent="0.25">
      <c r="A101" s="12">
        <v>92</v>
      </c>
      <c r="B101" s="1"/>
      <c r="C101" s="15" t="s">
        <v>364</v>
      </c>
      <c r="D101" s="14" t="s">
        <v>619</v>
      </c>
      <c r="E101" s="19">
        <v>371.2</v>
      </c>
      <c r="F101" s="19"/>
    </row>
    <row r="102" spans="1:11" ht="51.75" customHeight="1" x14ac:dyDescent="0.25">
      <c r="A102" s="12">
        <v>93</v>
      </c>
      <c r="B102" s="1" t="s">
        <v>252</v>
      </c>
      <c r="C102" s="68" t="s">
        <v>687</v>
      </c>
      <c r="D102" s="14"/>
      <c r="E102" s="19">
        <f>SUM(E103:E113)</f>
        <v>436.30000000000007</v>
      </c>
      <c r="F102" s="19">
        <f>SUM(F103:F113)</f>
        <v>0</v>
      </c>
    </row>
    <row r="103" spans="1:11" ht="39.6" x14ac:dyDescent="0.25">
      <c r="A103" s="12">
        <v>94</v>
      </c>
      <c r="B103" s="1"/>
      <c r="C103" s="15" t="s">
        <v>8</v>
      </c>
      <c r="D103" s="14" t="s">
        <v>688</v>
      </c>
      <c r="E103" s="19">
        <f>192.9+39.3</f>
        <v>232.2</v>
      </c>
      <c r="F103" s="19"/>
      <c r="K103" s="3"/>
    </row>
    <row r="104" spans="1:11" ht="39.6" x14ac:dyDescent="0.25">
      <c r="A104" s="12">
        <v>95</v>
      </c>
      <c r="B104" s="1"/>
      <c r="C104" s="15" t="s">
        <v>4</v>
      </c>
      <c r="D104" s="14" t="s">
        <v>688</v>
      </c>
      <c r="E104" s="19">
        <f>51.1+0.2-8</f>
        <v>43.300000000000004</v>
      </c>
      <c r="F104" s="19"/>
    </row>
    <row r="105" spans="1:11" ht="39.6" x14ac:dyDescent="0.25">
      <c r="A105" s="12">
        <v>96</v>
      </c>
      <c r="B105" s="1"/>
      <c r="C105" s="15" t="s">
        <v>5</v>
      </c>
      <c r="D105" s="14" t="s">
        <v>688</v>
      </c>
      <c r="E105" s="19">
        <v>22.6</v>
      </c>
      <c r="F105" s="19"/>
    </row>
    <row r="106" spans="1:11" ht="39.6" x14ac:dyDescent="0.25">
      <c r="A106" s="12">
        <v>97</v>
      </c>
      <c r="B106" s="1"/>
      <c r="C106" s="15" t="s">
        <v>7</v>
      </c>
      <c r="D106" s="14" t="s">
        <v>688</v>
      </c>
      <c r="E106" s="19">
        <f>15.5-5</f>
        <v>10.5</v>
      </c>
      <c r="F106" s="19"/>
    </row>
    <row r="107" spans="1:11" ht="39.6" x14ac:dyDescent="0.25">
      <c r="A107" s="12">
        <v>98</v>
      </c>
      <c r="B107" s="1"/>
      <c r="C107" s="15" t="s">
        <v>6</v>
      </c>
      <c r="D107" s="14" t="s">
        <v>688</v>
      </c>
      <c r="E107" s="19">
        <f>27-11.3</f>
        <v>15.7</v>
      </c>
      <c r="F107" s="19"/>
    </row>
    <row r="108" spans="1:11" ht="39.6" x14ac:dyDescent="0.25">
      <c r="A108" s="12">
        <v>99</v>
      </c>
      <c r="B108" s="1"/>
      <c r="C108" s="15" t="s">
        <v>9</v>
      </c>
      <c r="D108" s="14" t="s">
        <v>688</v>
      </c>
      <c r="E108" s="19">
        <f>27.6-15</f>
        <v>12.600000000000001</v>
      </c>
      <c r="F108" s="19"/>
    </row>
    <row r="109" spans="1:11" ht="39.6" x14ac:dyDescent="0.25">
      <c r="A109" s="12">
        <v>100</v>
      </c>
      <c r="B109" s="1"/>
      <c r="C109" s="16" t="s">
        <v>10</v>
      </c>
      <c r="D109" s="14" t="s">
        <v>688</v>
      </c>
      <c r="E109" s="19">
        <f>19.1+1</f>
        <v>20.100000000000001</v>
      </c>
      <c r="F109" s="19"/>
    </row>
    <row r="110" spans="1:11" ht="39.6" x14ac:dyDescent="0.25">
      <c r="A110" s="12">
        <v>101</v>
      </c>
      <c r="B110" s="1"/>
      <c r="C110" s="15" t="s">
        <v>12</v>
      </c>
      <c r="D110" s="14" t="s">
        <v>688</v>
      </c>
      <c r="E110" s="19">
        <f>25.1-6</f>
        <v>19.100000000000001</v>
      </c>
      <c r="F110" s="19"/>
    </row>
    <row r="111" spans="1:11" ht="39.6" x14ac:dyDescent="0.25">
      <c r="A111" s="12">
        <v>102</v>
      </c>
      <c r="B111" s="1"/>
      <c r="C111" s="15" t="s">
        <v>11</v>
      </c>
      <c r="D111" s="14" t="s">
        <v>688</v>
      </c>
      <c r="E111" s="19">
        <f>22-1</f>
        <v>21</v>
      </c>
      <c r="F111" s="19"/>
    </row>
    <row r="112" spans="1:11" ht="39.6" x14ac:dyDescent="0.25">
      <c r="A112" s="12">
        <v>103</v>
      </c>
      <c r="B112" s="1"/>
      <c r="C112" s="15" t="s">
        <v>13</v>
      </c>
      <c r="D112" s="14" t="s">
        <v>688</v>
      </c>
      <c r="E112" s="19">
        <f>15.2+4</f>
        <v>19.2</v>
      </c>
      <c r="F112" s="19"/>
    </row>
    <row r="113" spans="1:6" ht="39.6" x14ac:dyDescent="0.25">
      <c r="A113" s="12">
        <v>104</v>
      </c>
      <c r="B113" s="1"/>
      <c r="C113" s="15" t="s">
        <v>14</v>
      </c>
      <c r="D113" s="14" t="s">
        <v>688</v>
      </c>
      <c r="E113" s="19">
        <f>18+2</f>
        <v>20</v>
      </c>
      <c r="F113" s="19"/>
    </row>
    <row r="114" spans="1:6" ht="26.4" x14ac:dyDescent="0.25">
      <c r="A114" s="12">
        <v>105</v>
      </c>
      <c r="B114" s="1" t="s">
        <v>254</v>
      </c>
      <c r="C114" s="68" t="s">
        <v>608</v>
      </c>
      <c r="D114" s="158"/>
      <c r="E114" s="143">
        <f>+E115</f>
        <v>6.2000000000000171</v>
      </c>
      <c r="F114" s="143">
        <f>+F115</f>
        <v>0.10000000000000009</v>
      </c>
    </row>
    <row r="115" spans="1:6" x14ac:dyDescent="0.25">
      <c r="A115" s="12">
        <v>106</v>
      </c>
      <c r="B115" s="1"/>
      <c r="C115" s="15" t="s">
        <v>3</v>
      </c>
      <c r="D115" s="14" t="s">
        <v>619</v>
      </c>
      <c r="E115" s="19">
        <f>150.4-144.2</f>
        <v>6.2000000000000171</v>
      </c>
      <c r="F115" s="19">
        <f>2.9-0.4-2.4</f>
        <v>0.10000000000000009</v>
      </c>
    </row>
    <row r="116" spans="1:6" ht="39.6" x14ac:dyDescent="0.25">
      <c r="A116" s="12">
        <v>107</v>
      </c>
      <c r="B116" s="1" t="s">
        <v>613</v>
      </c>
      <c r="C116" s="68" t="s">
        <v>609</v>
      </c>
      <c r="D116" s="158"/>
      <c r="E116" s="143">
        <f>SUM(E117:E132)</f>
        <v>135.40000000000003</v>
      </c>
      <c r="F116" s="143">
        <f>SUM(F117:F132)</f>
        <v>133.60000000000005</v>
      </c>
    </row>
    <row r="117" spans="1:6" ht="39.6" x14ac:dyDescent="0.25">
      <c r="A117" s="12">
        <v>108</v>
      </c>
      <c r="B117" s="1"/>
      <c r="C117" s="24" t="s">
        <v>1</v>
      </c>
      <c r="D117" s="14" t="s">
        <v>71</v>
      </c>
      <c r="E117" s="19">
        <v>53.2</v>
      </c>
      <c r="F117" s="19">
        <v>52.4</v>
      </c>
    </row>
    <row r="118" spans="1:6" x14ac:dyDescent="0.25">
      <c r="A118" s="12">
        <v>109</v>
      </c>
      <c r="B118" s="1"/>
      <c r="C118" s="159" t="s">
        <v>2</v>
      </c>
      <c r="D118" s="14" t="s">
        <v>72</v>
      </c>
      <c r="E118" s="19">
        <v>2.9</v>
      </c>
      <c r="F118" s="19">
        <v>2.9</v>
      </c>
    </row>
    <row r="119" spans="1:6" x14ac:dyDescent="0.25">
      <c r="A119" s="12">
        <v>110</v>
      </c>
      <c r="B119" s="1"/>
      <c r="C119" s="156" t="s">
        <v>15</v>
      </c>
      <c r="D119" s="14" t="s">
        <v>104</v>
      </c>
      <c r="E119" s="19">
        <v>11.6</v>
      </c>
      <c r="F119" s="19">
        <v>11.4</v>
      </c>
    </row>
    <row r="120" spans="1:6" x14ac:dyDescent="0.25">
      <c r="A120" s="12">
        <v>111</v>
      </c>
      <c r="B120" s="1"/>
      <c r="C120" s="156" t="s">
        <v>19</v>
      </c>
      <c r="D120" s="14" t="s">
        <v>72</v>
      </c>
      <c r="E120" s="19">
        <v>8.1999999999999993</v>
      </c>
      <c r="F120" s="19">
        <v>8.1</v>
      </c>
    </row>
    <row r="121" spans="1:6" x14ac:dyDescent="0.25">
      <c r="A121" s="12">
        <v>112</v>
      </c>
      <c r="B121" s="1"/>
      <c r="C121" s="24" t="s">
        <v>153</v>
      </c>
      <c r="D121" s="14" t="s">
        <v>23</v>
      </c>
      <c r="E121" s="19">
        <v>46.3</v>
      </c>
      <c r="F121" s="19">
        <v>45.6</v>
      </c>
    </row>
    <row r="122" spans="1:6" ht="39.6" x14ac:dyDescent="0.25">
      <c r="A122" s="12">
        <v>113</v>
      </c>
      <c r="B122" s="1"/>
      <c r="C122" s="15" t="s">
        <v>8</v>
      </c>
      <c r="D122" s="14" t="s">
        <v>115</v>
      </c>
      <c r="E122" s="19">
        <v>2.1</v>
      </c>
      <c r="F122" s="19">
        <v>2.1</v>
      </c>
    </row>
    <row r="123" spans="1:6" ht="39.6" x14ac:dyDescent="0.25">
      <c r="A123" s="12">
        <v>114</v>
      </c>
      <c r="B123" s="1"/>
      <c r="C123" s="15" t="s">
        <v>4</v>
      </c>
      <c r="D123" s="14" t="s">
        <v>140</v>
      </c>
      <c r="E123" s="19">
        <v>2</v>
      </c>
      <c r="F123" s="19">
        <v>2</v>
      </c>
    </row>
    <row r="124" spans="1:6" ht="39.6" x14ac:dyDescent="0.25">
      <c r="A124" s="12">
        <v>115</v>
      </c>
      <c r="B124" s="1"/>
      <c r="C124" s="15" t="s">
        <v>5</v>
      </c>
      <c r="D124" s="14" t="s">
        <v>115</v>
      </c>
      <c r="E124" s="19">
        <v>0.9</v>
      </c>
      <c r="F124" s="19">
        <v>0.9</v>
      </c>
    </row>
    <row r="125" spans="1:6" ht="39.6" x14ac:dyDescent="0.25">
      <c r="A125" s="12">
        <v>116</v>
      </c>
      <c r="B125" s="1"/>
      <c r="C125" s="15" t="s">
        <v>7</v>
      </c>
      <c r="D125" s="14" t="s">
        <v>115</v>
      </c>
      <c r="E125" s="19">
        <v>0.9</v>
      </c>
      <c r="F125" s="19">
        <v>0.9</v>
      </c>
    </row>
    <row r="126" spans="1:6" ht="39.6" x14ac:dyDescent="0.25">
      <c r="A126" s="12">
        <v>117</v>
      </c>
      <c r="B126" s="1"/>
      <c r="C126" s="15" t="s">
        <v>6</v>
      </c>
      <c r="D126" s="14" t="s">
        <v>115</v>
      </c>
      <c r="E126" s="19">
        <v>1.4</v>
      </c>
      <c r="F126" s="19">
        <v>1.4</v>
      </c>
    </row>
    <row r="127" spans="1:6" ht="39.6" x14ac:dyDescent="0.25">
      <c r="A127" s="12">
        <v>118</v>
      </c>
      <c r="B127" s="1"/>
      <c r="C127" s="15" t="s">
        <v>9</v>
      </c>
      <c r="D127" s="14" t="s">
        <v>115</v>
      </c>
      <c r="E127" s="19">
        <v>0.9</v>
      </c>
      <c r="F127" s="19">
        <v>0.9</v>
      </c>
    </row>
    <row r="128" spans="1:6" ht="39.6" x14ac:dyDescent="0.25">
      <c r="A128" s="12">
        <v>119</v>
      </c>
      <c r="B128" s="1"/>
      <c r="C128" s="16" t="s">
        <v>10</v>
      </c>
      <c r="D128" s="14" t="s">
        <v>115</v>
      </c>
      <c r="E128" s="19">
        <v>0.9</v>
      </c>
      <c r="F128" s="19">
        <v>0.9</v>
      </c>
    </row>
    <row r="129" spans="1:8" ht="39.6" x14ac:dyDescent="0.25">
      <c r="A129" s="12">
        <v>120</v>
      </c>
      <c r="B129" s="1"/>
      <c r="C129" s="15" t="s">
        <v>12</v>
      </c>
      <c r="D129" s="14" t="s">
        <v>115</v>
      </c>
      <c r="E129" s="19">
        <v>0.9</v>
      </c>
      <c r="F129" s="19">
        <v>0.9</v>
      </c>
    </row>
    <row r="130" spans="1:8" ht="39.6" x14ac:dyDescent="0.25">
      <c r="A130" s="12">
        <v>121</v>
      </c>
      <c r="B130" s="1"/>
      <c r="C130" s="15" t="s">
        <v>11</v>
      </c>
      <c r="D130" s="14" t="s">
        <v>115</v>
      </c>
      <c r="E130" s="19">
        <v>0.9</v>
      </c>
      <c r="F130" s="19">
        <v>0.9</v>
      </c>
      <c r="G130" s="20"/>
      <c r="H130" s="20"/>
    </row>
    <row r="131" spans="1:8" ht="39.6" x14ac:dyDescent="0.25">
      <c r="A131" s="12">
        <v>122</v>
      </c>
      <c r="B131" s="1"/>
      <c r="C131" s="15" t="s">
        <v>13</v>
      </c>
      <c r="D131" s="14" t="s">
        <v>115</v>
      </c>
      <c r="E131" s="19">
        <v>0.9</v>
      </c>
      <c r="F131" s="19">
        <v>0.9</v>
      </c>
      <c r="G131" s="20"/>
      <c r="H131" s="20"/>
    </row>
    <row r="132" spans="1:8" ht="39.6" x14ac:dyDescent="0.25">
      <c r="A132" s="12">
        <v>123</v>
      </c>
      <c r="B132" s="1"/>
      <c r="C132" s="15" t="s">
        <v>14</v>
      </c>
      <c r="D132" s="14" t="s">
        <v>115</v>
      </c>
      <c r="E132" s="19">
        <v>1.4</v>
      </c>
      <c r="F132" s="19">
        <v>1.4</v>
      </c>
    </row>
    <row r="133" spans="1:8" ht="26.4" x14ac:dyDescent="0.25">
      <c r="A133" s="12">
        <v>124</v>
      </c>
      <c r="B133" s="1" t="s">
        <v>615</v>
      </c>
      <c r="C133" s="68" t="s">
        <v>614</v>
      </c>
      <c r="D133" s="158"/>
      <c r="E133" s="143">
        <f>+E134</f>
        <v>23.1</v>
      </c>
      <c r="F133" s="143">
        <f>+F134</f>
        <v>0.9</v>
      </c>
    </row>
    <row r="134" spans="1:8" x14ac:dyDescent="0.25">
      <c r="A134" s="12">
        <v>125</v>
      </c>
      <c r="B134" s="1"/>
      <c r="C134" s="15" t="s">
        <v>364</v>
      </c>
      <c r="D134" s="14" t="s">
        <v>619</v>
      </c>
      <c r="E134" s="19">
        <f>24.8+2.2-3.9</f>
        <v>23.1</v>
      </c>
      <c r="F134" s="19">
        <f>1-0.1</f>
        <v>0.9</v>
      </c>
    </row>
    <row r="135" spans="1:8" ht="26.4" x14ac:dyDescent="0.25">
      <c r="A135" s="12">
        <v>126</v>
      </c>
      <c r="B135" s="1" t="s">
        <v>633</v>
      </c>
      <c r="C135" s="68" t="s">
        <v>690</v>
      </c>
      <c r="E135" s="19">
        <f>+E136</f>
        <v>0.1</v>
      </c>
      <c r="F135" s="19">
        <f>+F136</f>
        <v>0</v>
      </c>
    </row>
    <row r="136" spans="1:8" x14ac:dyDescent="0.25">
      <c r="A136" s="12">
        <v>127</v>
      </c>
      <c r="B136" s="1"/>
      <c r="C136" s="15" t="s">
        <v>364</v>
      </c>
      <c r="D136" s="14" t="s">
        <v>619</v>
      </c>
      <c r="E136" s="19">
        <v>0.1</v>
      </c>
      <c r="F136" s="19"/>
    </row>
    <row r="137" spans="1:8" ht="39.6" x14ac:dyDescent="0.25">
      <c r="A137" s="12">
        <v>128</v>
      </c>
      <c r="B137" s="1" t="s">
        <v>662</v>
      </c>
      <c r="C137" s="68" t="s">
        <v>616</v>
      </c>
      <c r="D137" s="158"/>
      <c r="E137" s="143">
        <f>+E138</f>
        <v>84.1</v>
      </c>
      <c r="F137" s="143">
        <f>+F138</f>
        <v>3.4</v>
      </c>
    </row>
    <row r="138" spans="1:8" x14ac:dyDescent="0.25">
      <c r="A138" s="12">
        <v>129</v>
      </c>
      <c r="B138" s="1"/>
      <c r="C138" s="33" t="s">
        <v>3</v>
      </c>
      <c r="D138" s="14" t="s">
        <v>619</v>
      </c>
      <c r="E138" s="19">
        <v>84.1</v>
      </c>
      <c r="F138" s="19">
        <f>4-0.6</f>
        <v>3.4</v>
      </c>
    </row>
    <row r="139" spans="1:8" ht="26.4" x14ac:dyDescent="0.25">
      <c r="A139" s="12">
        <v>130</v>
      </c>
      <c r="B139" s="1" t="s">
        <v>691</v>
      </c>
      <c r="C139" s="154" t="s">
        <v>634</v>
      </c>
      <c r="D139" s="158"/>
      <c r="E139" s="143">
        <f>SUM(E140:E143)</f>
        <v>21.3</v>
      </c>
      <c r="F139" s="143">
        <f>SUM(F140:F143)</f>
        <v>21</v>
      </c>
    </row>
    <row r="140" spans="1:8" ht="39.6" x14ac:dyDescent="0.25">
      <c r="A140" s="12">
        <v>131</v>
      </c>
      <c r="B140" s="1"/>
      <c r="C140" s="16" t="s">
        <v>1</v>
      </c>
      <c r="D140" s="14" t="s">
        <v>71</v>
      </c>
      <c r="E140" s="19">
        <v>12.5</v>
      </c>
      <c r="F140" s="19">
        <v>12.3</v>
      </c>
    </row>
    <row r="141" spans="1:8" x14ac:dyDescent="0.25">
      <c r="A141" s="12">
        <v>132</v>
      </c>
      <c r="B141" s="1"/>
      <c r="C141" s="66" t="s">
        <v>2</v>
      </c>
      <c r="D141" s="160" t="s">
        <v>72</v>
      </c>
      <c r="E141" s="19">
        <v>4.2</v>
      </c>
      <c r="F141" s="19">
        <v>4.0999999999999996</v>
      </c>
    </row>
    <row r="142" spans="1:8" x14ac:dyDescent="0.25">
      <c r="A142" s="12">
        <v>133</v>
      </c>
      <c r="B142" s="1"/>
      <c r="C142" s="156" t="s">
        <v>15</v>
      </c>
      <c r="D142" s="14" t="s">
        <v>104</v>
      </c>
      <c r="E142" s="19">
        <v>1.8</v>
      </c>
      <c r="F142" s="19">
        <v>1.8</v>
      </c>
    </row>
    <row r="143" spans="1:8" x14ac:dyDescent="0.25">
      <c r="A143" s="12">
        <v>134</v>
      </c>
      <c r="B143" s="1"/>
      <c r="C143" s="66" t="s">
        <v>153</v>
      </c>
      <c r="D143" s="14" t="s">
        <v>23</v>
      </c>
      <c r="E143" s="19">
        <v>2.8</v>
      </c>
      <c r="F143" s="19">
        <v>2.8</v>
      </c>
    </row>
    <row r="144" spans="1:8" ht="39.6" x14ac:dyDescent="0.25">
      <c r="A144" s="12">
        <v>135</v>
      </c>
      <c r="B144" s="1" t="s">
        <v>692</v>
      </c>
      <c r="C144" s="144" t="s">
        <v>663</v>
      </c>
      <c r="D144" s="14"/>
      <c r="E144" s="19">
        <f>+E145</f>
        <v>140.4</v>
      </c>
      <c r="F144" s="19">
        <f>+F145</f>
        <v>2.8</v>
      </c>
    </row>
    <row r="145" spans="1:10" x14ac:dyDescent="0.25">
      <c r="A145" s="12">
        <v>136</v>
      </c>
      <c r="B145" s="1"/>
      <c r="C145" s="15" t="s">
        <v>364</v>
      </c>
      <c r="D145" s="14" t="s">
        <v>619</v>
      </c>
      <c r="E145" s="19">
        <f>3.7+22.6+22.6+23.2+15.8+19.9+17.8+14.8</f>
        <v>140.4</v>
      </c>
      <c r="F145" s="19">
        <f>0.1+0.4+0.4+0.5+0.3+0.4+0.4+0.3</f>
        <v>2.8</v>
      </c>
      <c r="G145" s="167"/>
      <c r="H145" s="167"/>
    </row>
    <row r="146" spans="1:10" ht="79.2" x14ac:dyDescent="0.25">
      <c r="A146" s="12">
        <v>137</v>
      </c>
      <c r="B146" s="1" t="s">
        <v>693</v>
      </c>
      <c r="C146" s="68" t="s">
        <v>680</v>
      </c>
      <c r="D146" s="14"/>
      <c r="E146" s="19">
        <f>+E147</f>
        <v>96.8</v>
      </c>
      <c r="F146" s="19">
        <f>+F147</f>
        <v>0</v>
      </c>
    </row>
    <row r="147" spans="1:10" x14ac:dyDescent="0.25">
      <c r="A147" s="12">
        <v>138</v>
      </c>
      <c r="B147" s="1"/>
      <c r="C147" s="15" t="s">
        <v>364</v>
      </c>
      <c r="D147" s="14" t="s">
        <v>73</v>
      </c>
      <c r="E147" s="19">
        <f>20.7+26.9+49.2</f>
        <v>96.8</v>
      </c>
      <c r="F147" s="19"/>
      <c r="G147" s="167"/>
    </row>
    <row r="148" spans="1:10" ht="66" x14ac:dyDescent="0.25">
      <c r="A148" s="12">
        <v>139</v>
      </c>
      <c r="B148" s="1" t="s">
        <v>694</v>
      </c>
      <c r="C148" s="68" t="s">
        <v>679</v>
      </c>
      <c r="D148" s="14"/>
      <c r="E148" s="19">
        <f>+E149</f>
        <v>7.1</v>
      </c>
      <c r="F148" s="19">
        <f>+F149</f>
        <v>0.2</v>
      </c>
    </row>
    <row r="149" spans="1:10" x14ac:dyDescent="0.25">
      <c r="A149" s="12">
        <v>140</v>
      </c>
      <c r="B149" s="1"/>
      <c r="C149" s="15" t="s">
        <v>364</v>
      </c>
      <c r="D149" s="14" t="s">
        <v>73</v>
      </c>
      <c r="E149" s="19">
        <f>3.3+0.6+3.2</f>
        <v>7.1</v>
      </c>
      <c r="F149" s="19">
        <f>0.1+0.1</f>
        <v>0.2</v>
      </c>
      <c r="G149" s="167"/>
      <c r="H149" s="167"/>
    </row>
    <row r="150" spans="1:10" ht="26.4" x14ac:dyDescent="0.25">
      <c r="A150" s="12">
        <v>141</v>
      </c>
      <c r="B150" s="1" t="s">
        <v>839</v>
      </c>
      <c r="C150" s="68" t="s">
        <v>845</v>
      </c>
      <c r="D150" s="14"/>
      <c r="E150" s="19">
        <f>+E151</f>
        <v>85.3</v>
      </c>
      <c r="F150" s="19">
        <f>+F151</f>
        <v>0</v>
      </c>
      <c r="I150" s="167"/>
      <c r="J150" s="167"/>
    </row>
    <row r="151" spans="1:10" x14ac:dyDescent="0.25">
      <c r="A151" s="12">
        <v>142</v>
      </c>
      <c r="B151" s="1"/>
      <c r="C151" s="15" t="s">
        <v>364</v>
      </c>
      <c r="D151" s="14" t="s">
        <v>24</v>
      </c>
      <c r="E151" s="19">
        <v>85.3</v>
      </c>
      <c r="F151" s="19"/>
      <c r="I151" s="167"/>
      <c r="J151" s="167"/>
    </row>
    <row r="152" spans="1:10" ht="39.6" x14ac:dyDescent="0.25">
      <c r="A152" s="12">
        <v>143</v>
      </c>
      <c r="B152" s="1" t="s">
        <v>842</v>
      </c>
      <c r="C152" s="68" t="s">
        <v>844</v>
      </c>
      <c r="D152" s="14"/>
      <c r="E152" s="19">
        <f>+E153</f>
        <v>0.9</v>
      </c>
      <c r="F152" s="19">
        <f>+F153</f>
        <v>0</v>
      </c>
      <c r="I152" s="167"/>
      <c r="J152" s="167"/>
    </row>
    <row r="153" spans="1:10" x14ac:dyDescent="0.25">
      <c r="A153" s="12">
        <v>144</v>
      </c>
      <c r="B153" s="1"/>
      <c r="C153" s="15" t="s">
        <v>364</v>
      </c>
      <c r="D153" s="14" t="s">
        <v>619</v>
      </c>
      <c r="E153" s="19">
        <v>0.9</v>
      </c>
      <c r="F153" s="19"/>
      <c r="I153" s="167"/>
      <c r="J153" s="167"/>
    </row>
    <row r="154" spans="1:10" x14ac:dyDescent="0.25">
      <c r="A154" s="12">
        <v>145</v>
      </c>
      <c r="B154" s="11" t="s">
        <v>77</v>
      </c>
      <c r="C154" s="17" t="s">
        <v>222</v>
      </c>
      <c r="D154" s="18"/>
      <c r="E154" s="65">
        <f>+E155</f>
        <v>2.4</v>
      </c>
      <c r="F154" s="65">
        <f>+F155</f>
        <v>2.4</v>
      </c>
    </row>
    <row r="155" spans="1:10" ht="52.8" x14ac:dyDescent="0.25">
      <c r="A155" s="12">
        <v>146</v>
      </c>
      <c r="B155" s="1" t="s">
        <v>382</v>
      </c>
      <c r="C155" s="154" t="s">
        <v>485</v>
      </c>
      <c r="D155" s="18"/>
      <c r="E155" s="143">
        <f>+E156</f>
        <v>2.4</v>
      </c>
      <c r="F155" s="143">
        <f>+F156</f>
        <v>2.4</v>
      </c>
    </row>
    <row r="156" spans="1:10" x14ac:dyDescent="0.25">
      <c r="A156" s="12">
        <v>147</v>
      </c>
      <c r="B156" s="1"/>
      <c r="C156" s="24" t="s">
        <v>113</v>
      </c>
      <c r="D156" s="1" t="s">
        <v>78</v>
      </c>
      <c r="E156" s="19">
        <v>2.4</v>
      </c>
      <c r="F156" s="19">
        <v>2.4</v>
      </c>
    </row>
    <row r="157" spans="1:10" x14ac:dyDescent="0.25">
      <c r="A157" s="12">
        <v>148</v>
      </c>
      <c r="B157" s="11" t="s">
        <v>79</v>
      </c>
      <c r="C157" s="17" t="s">
        <v>80</v>
      </c>
      <c r="D157" s="18"/>
      <c r="E157" s="161">
        <f>+E158+E160+E164+E167</f>
        <v>805.19999999999993</v>
      </c>
      <c r="F157" s="161">
        <f>+F158+F160+F164+F167</f>
        <v>17.3</v>
      </c>
    </row>
    <row r="158" spans="1:10" ht="26.4" x14ac:dyDescent="0.25">
      <c r="A158" s="12">
        <v>149</v>
      </c>
      <c r="B158" s="1" t="s">
        <v>372</v>
      </c>
      <c r="C158" s="154" t="s">
        <v>510</v>
      </c>
      <c r="D158" s="18"/>
      <c r="E158" s="19">
        <f>+E159</f>
        <v>55.5</v>
      </c>
      <c r="F158" s="19">
        <f>+F159</f>
        <v>0</v>
      </c>
    </row>
    <row r="159" spans="1:10" ht="26.4" x14ac:dyDescent="0.25">
      <c r="A159" s="12">
        <v>150</v>
      </c>
      <c r="B159" s="1"/>
      <c r="C159" s="15" t="s">
        <v>53</v>
      </c>
      <c r="D159" s="1" t="s">
        <v>82</v>
      </c>
      <c r="E159" s="19">
        <v>55.5</v>
      </c>
      <c r="F159" s="19"/>
    </row>
    <row r="160" spans="1:10" ht="52.8" x14ac:dyDescent="0.25">
      <c r="A160" s="12">
        <v>151</v>
      </c>
      <c r="B160" s="1" t="s">
        <v>371</v>
      </c>
      <c r="C160" s="154" t="s">
        <v>485</v>
      </c>
      <c r="D160" s="18"/>
      <c r="E160" s="19">
        <f>SUM(E161:E163)</f>
        <v>16.899999999999999</v>
      </c>
      <c r="F160" s="19">
        <f>SUM(F161:F163)</f>
        <v>16.7</v>
      </c>
    </row>
    <row r="161" spans="1:12" x14ac:dyDescent="0.25">
      <c r="A161" s="12">
        <v>152</v>
      </c>
      <c r="B161" s="1"/>
      <c r="C161" s="24" t="s">
        <v>44</v>
      </c>
      <c r="D161" s="1" t="s">
        <v>81</v>
      </c>
      <c r="E161" s="19">
        <v>4.9000000000000004</v>
      </c>
      <c r="F161" s="19">
        <v>4.8</v>
      </c>
    </row>
    <row r="162" spans="1:12" ht="26.4" x14ac:dyDescent="0.25">
      <c r="A162" s="12">
        <v>153</v>
      </c>
      <c r="B162" s="1"/>
      <c r="C162" s="15" t="s">
        <v>53</v>
      </c>
      <c r="D162" s="1" t="s">
        <v>82</v>
      </c>
      <c r="E162" s="19">
        <v>9.6</v>
      </c>
      <c r="F162" s="19">
        <v>9.5</v>
      </c>
    </row>
    <row r="163" spans="1:12" x14ac:dyDescent="0.25">
      <c r="A163" s="12">
        <v>154</v>
      </c>
      <c r="B163" s="1"/>
      <c r="C163" s="159" t="s">
        <v>43</v>
      </c>
      <c r="D163" s="1" t="s">
        <v>83</v>
      </c>
      <c r="E163" s="19">
        <v>2.4</v>
      </c>
      <c r="F163" s="19">
        <v>2.4</v>
      </c>
    </row>
    <row r="164" spans="1:12" ht="26.4" x14ac:dyDescent="0.25">
      <c r="A164" s="12">
        <v>155</v>
      </c>
      <c r="B164" s="1" t="s">
        <v>384</v>
      </c>
      <c r="C164" s="154" t="s">
        <v>567</v>
      </c>
      <c r="D164" s="18"/>
      <c r="E164" s="143">
        <f>+E165</f>
        <v>700</v>
      </c>
      <c r="F164" s="143">
        <f>+F165</f>
        <v>0</v>
      </c>
    </row>
    <row r="165" spans="1:12" x14ac:dyDescent="0.25">
      <c r="A165" s="12">
        <v>156</v>
      </c>
      <c r="B165" s="1"/>
      <c r="C165" s="15" t="s">
        <v>3</v>
      </c>
      <c r="D165" s="18"/>
      <c r="E165" s="19">
        <f>+E166</f>
        <v>700</v>
      </c>
      <c r="F165" s="19">
        <f>+F166</f>
        <v>0</v>
      </c>
    </row>
    <row r="166" spans="1:12" ht="26.4" x14ac:dyDescent="0.25">
      <c r="A166" s="12">
        <v>157</v>
      </c>
      <c r="B166" s="1"/>
      <c r="C166" s="53" t="s">
        <v>381</v>
      </c>
      <c r="D166" s="18" t="s">
        <v>81</v>
      </c>
      <c r="E166" s="19">
        <f>550+150</f>
        <v>700</v>
      </c>
      <c r="F166" s="19"/>
    </row>
    <row r="167" spans="1:12" ht="26.4" x14ac:dyDescent="0.25">
      <c r="A167" s="12">
        <v>158</v>
      </c>
      <c r="B167" s="1" t="s">
        <v>672</v>
      </c>
      <c r="C167" s="154" t="s">
        <v>670</v>
      </c>
      <c r="D167" s="94"/>
      <c r="E167" s="19">
        <f>+E168</f>
        <v>32.799999999999997</v>
      </c>
      <c r="F167" s="19">
        <f>+F168</f>
        <v>0.6</v>
      </c>
    </row>
    <row r="168" spans="1:12" x14ac:dyDescent="0.25">
      <c r="A168" s="12">
        <v>159</v>
      </c>
      <c r="B168" s="1"/>
      <c r="C168" s="15" t="s">
        <v>3</v>
      </c>
      <c r="D168" s="94" t="s">
        <v>671</v>
      </c>
      <c r="E168" s="19">
        <v>32.799999999999997</v>
      </c>
      <c r="F168" s="19">
        <v>0.6</v>
      </c>
    </row>
    <row r="169" spans="1:12" ht="26.4" x14ac:dyDescent="0.25">
      <c r="A169" s="12">
        <v>160</v>
      </c>
      <c r="B169" s="11" t="s">
        <v>85</v>
      </c>
      <c r="C169" s="72" t="s">
        <v>86</v>
      </c>
      <c r="D169" s="1"/>
      <c r="E169" s="19">
        <f>+E170</f>
        <v>3008.3</v>
      </c>
      <c r="F169" s="19">
        <f>+F170</f>
        <v>0</v>
      </c>
    </row>
    <row r="170" spans="1:12" ht="26.4" x14ac:dyDescent="0.25">
      <c r="A170" s="12">
        <v>161</v>
      </c>
      <c r="B170" s="1" t="s">
        <v>635</v>
      </c>
      <c r="C170" s="68" t="s">
        <v>636</v>
      </c>
      <c r="D170" s="1"/>
      <c r="E170" s="143">
        <f>+E171</f>
        <v>3008.3</v>
      </c>
      <c r="F170" s="143">
        <f>+F171</f>
        <v>0</v>
      </c>
    </row>
    <row r="171" spans="1:12" x14ac:dyDescent="0.25">
      <c r="A171" s="12">
        <v>162</v>
      </c>
      <c r="B171" s="11"/>
      <c r="C171" s="15" t="s">
        <v>3</v>
      </c>
      <c r="D171" s="1" t="s">
        <v>588</v>
      </c>
      <c r="E171" s="19">
        <v>3008.3</v>
      </c>
      <c r="F171" s="19"/>
    </row>
    <row r="172" spans="1:12" x14ac:dyDescent="0.25">
      <c r="A172" s="12">
        <v>163</v>
      </c>
      <c r="B172" s="11" t="s">
        <v>90</v>
      </c>
      <c r="C172" s="17" t="s">
        <v>91</v>
      </c>
      <c r="D172" s="1"/>
      <c r="E172" s="65">
        <f>+E173+E175</f>
        <v>10.1</v>
      </c>
      <c r="F172" s="65">
        <f>+F173+F175</f>
        <v>0</v>
      </c>
    </row>
    <row r="173" spans="1:12" ht="26.4" x14ac:dyDescent="0.25">
      <c r="A173" s="12">
        <v>164</v>
      </c>
      <c r="B173" s="1" t="s">
        <v>375</v>
      </c>
      <c r="C173" s="68" t="s">
        <v>448</v>
      </c>
      <c r="D173" s="1"/>
      <c r="E173" s="143">
        <f>+E174</f>
        <v>8.1999999999999993</v>
      </c>
      <c r="F173" s="143">
        <f>+F174</f>
        <v>0</v>
      </c>
    </row>
    <row r="174" spans="1:12" x14ac:dyDescent="0.25">
      <c r="A174" s="12">
        <v>165</v>
      </c>
      <c r="B174" s="1"/>
      <c r="C174" s="33" t="s">
        <v>3</v>
      </c>
      <c r="D174" s="1" t="s">
        <v>132</v>
      </c>
      <c r="E174" s="19">
        <v>8.1999999999999993</v>
      </c>
      <c r="F174" s="19"/>
    </row>
    <row r="175" spans="1:12" ht="26.4" x14ac:dyDescent="0.25">
      <c r="A175" s="12">
        <v>166</v>
      </c>
      <c r="B175" s="1" t="s">
        <v>846</v>
      </c>
      <c r="C175" s="155" t="s">
        <v>722</v>
      </c>
      <c r="D175" s="14"/>
      <c r="E175" s="19">
        <f>+E176</f>
        <v>1.9</v>
      </c>
      <c r="F175" s="19">
        <f>+F176</f>
        <v>0</v>
      </c>
      <c r="L175" s="4"/>
    </row>
    <row r="176" spans="1:12" x14ac:dyDescent="0.25">
      <c r="A176" s="12">
        <v>167</v>
      </c>
      <c r="B176" s="1"/>
      <c r="C176" s="33" t="s">
        <v>3</v>
      </c>
      <c r="D176" s="14" t="s">
        <v>148</v>
      </c>
      <c r="E176" s="19">
        <v>1.9</v>
      </c>
      <c r="F176" s="19"/>
      <c r="L176" s="4"/>
    </row>
    <row r="177" spans="1:6" x14ac:dyDescent="0.25">
      <c r="A177" s="12">
        <v>168</v>
      </c>
      <c r="B177" s="11" t="s">
        <v>96</v>
      </c>
      <c r="C177" s="17" t="s">
        <v>97</v>
      </c>
      <c r="D177" s="14"/>
      <c r="E177" s="19">
        <f>+E178</f>
        <v>47.5</v>
      </c>
      <c r="F177" s="19"/>
    </row>
    <row r="178" spans="1:6" ht="66" x14ac:dyDescent="0.25">
      <c r="A178" s="12">
        <v>169</v>
      </c>
      <c r="B178" s="1" t="s">
        <v>185</v>
      </c>
      <c r="C178" s="155" t="s">
        <v>682</v>
      </c>
      <c r="D178" s="14"/>
      <c r="E178" s="19">
        <f>+E179</f>
        <v>47.5</v>
      </c>
      <c r="F178" s="19"/>
    </row>
    <row r="179" spans="1:6" x14ac:dyDescent="0.25">
      <c r="A179" s="12">
        <v>170</v>
      </c>
      <c r="B179" s="1"/>
      <c r="C179" s="33" t="s">
        <v>3</v>
      </c>
      <c r="D179" s="1" t="s">
        <v>683</v>
      </c>
      <c r="E179" s="19">
        <f>27.3+20.2</f>
        <v>47.5</v>
      </c>
      <c r="F179" s="19"/>
    </row>
    <row r="180" spans="1:6" x14ac:dyDescent="0.25">
      <c r="A180" s="12">
        <v>171</v>
      </c>
      <c r="B180" s="11" t="s">
        <v>25</v>
      </c>
      <c r="C180" s="17" t="s">
        <v>26</v>
      </c>
      <c r="D180" s="1"/>
      <c r="E180" s="19">
        <f>+E181+E183</f>
        <v>32.1</v>
      </c>
      <c r="F180" s="19">
        <f>+F181+F183</f>
        <v>0</v>
      </c>
    </row>
    <row r="181" spans="1:6" ht="44.25" customHeight="1" x14ac:dyDescent="0.25">
      <c r="A181" s="12">
        <v>172</v>
      </c>
      <c r="B181" s="1" t="s">
        <v>34</v>
      </c>
      <c r="C181" s="154" t="s">
        <v>632</v>
      </c>
      <c r="D181" s="162"/>
      <c r="E181" s="143">
        <f>+E182</f>
        <v>22.3</v>
      </c>
      <c r="F181" s="143">
        <f>+F182</f>
        <v>0</v>
      </c>
    </row>
    <row r="182" spans="1:6" x14ac:dyDescent="0.25">
      <c r="A182" s="12">
        <v>173</v>
      </c>
      <c r="B182" s="1"/>
      <c r="C182" s="53" t="s">
        <v>3</v>
      </c>
      <c r="D182" s="18" t="s">
        <v>122</v>
      </c>
      <c r="E182" s="19">
        <v>22.3</v>
      </c>
      <c r="F182" s="19"/>
    </row>
    <row r="183" spans="1:6" ht="52.8" x14ac:dyDescent="0.25">
      <c r="A183" s="12">
        <v>174</v>
      </c>
      <c r="B183" s="1" t="s">
        <v>35</v>
      </c>
      <c r="C183" s="154" t="s">
        <v>678</v>
      </c>
      <c r="D183" s="18"/>
      <c r="E183" s="19">
        <f>+E184</f>
        <v>9.8000000000000007</v>
      </c>
      <c r="F183" s="19">
        <f>+F184</f>
        <v>0</v>
      </c>
    </row>
    <row r="184" spans="1:6" x14ac:dyDescent="0.25">
      <c r="A184" s="12">
        <v>175</v>
      </c>
      <c r="B184" s="1"/>
      <c r="C184" s="53" t="s">
        <v>3</v>
      </c>
      <c r="D184" s="18">
        <v>10</v>
      </c>
      <c r="E184" s="19">
        <f>6.1+3.7</f>
        <v>9.8000000000000007</v>
      </c>
      <c r="F184" s="19"/>
    </row>
    <row r="185" spans="1:6" x14ac:dyDescent="0.25">
      <c r="A185" s="12">
        <v>176</v>
      </c>
      <c r="B185" s="11"/>
      <c r="C185" s="27" t="s">
        <v>20</v>
      </c>
      <c r="D185" s="1"/>
      <c r="E185" s="42">
        <f>+E10++E89+E92+E154+E157+E169+E172+E180+E177</f>
        <v>7207.0000000000009</v>
      </c>
      <c r="F185" s="42">
        <f>+F10++F89+F92+F154+F157+F169+F172+F180+F177</f>
        <v>555.79999999999995</v>
      </c>
    </row>
    <row r="186" spans="1:6" x14ac:dyDescent="0.25">
      <c r="C186" s="148" t="s">
        <v>114</v>
      </c>
      <c r="D186" s="7"/>
      <c r="E186" s="20"/>
      <c r="F186" s="20"/>
    </row>
    <row r="187" spans="1:6" ht="13.5" customHeight="1" x14ac:dyDescent="0.25">
      <c r="C187" s="119"/>
      <c r="E187" s="20"/>
      <c r="F187" s="20"/>
    </row>
    <row r="188" spans="1:6" x14ac:dyDescent="0.25">
      <c r="C188" s="119"/>
      <c r="D188" s="2"/>
      <c r="E188" s="20"/>
      <c r="F188" s="20"/>
    </row>
    <row r="189" spans="1:6" x14ac:dyDescent="0.25">
      <c r="D189" s="5"/>
      <c r="E189" s="50"/>
      <c r="F189" s="50"/>
    </row>
    <row r="190" spans="1:6" x14ac:dyDescent="0.25">
      <c r="C190" s="163"/>
      <c r="E190" s="50"/>
      <c r="F190" s="50"/>
    </row>
    <row r="191" spans="1:6" x14ac:dyDescent="0.25">
      <c r="C191" s="164"/>
      <c r="E191" s="50"/>
      <c r="F191" s="50"/>
    </row>
    <row r="192" spans="1:6" x14ac:dyDescent="0.25">
      <c r="C192" s="165"/>
    </row>
    <row r="193" spans="3:9" x14ac:dyDescent="0.25">
      <c r="C193" s="163"/>
    </row>
    <row r="194" spans="3:9" x14ac:dyDescent="0.25">
      <c r="C194" s="166"/>
      <c r="E194" s="50"/>
    </row>
    <row r="198" spans="3:9" x14ac:dyDescent="0.25">
      <c r="E198" s="50"/>
      <c r="I198" s="36"/>
    </row>
    <row r="199" spans="3:9" x14ac:dyDescent="0.25">
      <c r="E199" s="50"/>
    </row>
    <row r="201" spans="3:9" x14ac:dyDescent="0.25">
      <c r="E201" s="50"/>
    </row>
  </sheetData>
  <mergeCells count="4">
    <mergeCell ref="C1:F1"/>
    <mergeCell ref="C2:F2"/>
    <mergeCell ref="E3:F3"/>
    <mergeCell ref="A5:F5"/>
  </mergeCells>
  <pageMargins left="0.70866141732283472" right="0" top="0.74803149606299213" bottom="0.74803149606299213" header="0.31496062992125984" footer="0.31496062992125984"/>
  <pageSetup paperSize="9" orientation="portrait" r:id="rId1"/>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Darbalapiai</vt:lpstr>
      </vt:variant>
      <vt:variant>
        <vt:i4>5</vt:i4>
      </vt:variant>
      <vt:variant>
        <vt:lpstr>Įvardinti diapazonai</vt:lpstr>
      </vt:variant>
      <vt:variant>
        <vt:i4>10</vt:i4>
      </vt:variant>
    </vt:vector>
  </HeadingPairs>
  <TitlesOfParts>
    <vt:vector size="15" baseType="lpstr">
      <vt:lpstr>1 pr</vt:lpstr>
      <vt:lpstr>3 pr</vt:lpstr>
      <vt:lpstr>7 pr</vt:lpstr>
      <vt:lpstr>8 pr</vt:lpstr>
      <vt:lpstr>10 pr</vt:lpstr>
      <vt:lpstr>'1 pr'!Print_Area</vt:lpstr>
      <vt:lpstr>'10 pr'!Print_Area</vt:lpstr>
      <vt:lpstr>'3 pr'!Print_Area</vt:lpstr>
      <vt:lpstr>'7 pr'!Print_Area</vt:lpstr>
      <vt:lpstr>'8 pr'!Print_Area</vt:lpstr>
      <vt:lpstr>'1 pr'!Print_Titles</vt:lpstr>
      <vt:lpstr>'10 pr'!Print_Titles</vt:lpstr>
      <vt:lpstr>'3 pr'!Print_Titles</vt:lpstr>
      <vt:lpstr>'7 pr'!Print_Titles</vt:lpstr>
      <vt:lpstr>'8 pr'!Print_Titles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V.Sirvaitiene</dc:creator>
  <cp:lastModifiedBy>Vartotoja</cp:lastModifiedBy>
  <cp:lastPrinted>2022-12-07T14:31:18Z</cp:lastPrinted>
  <dcterms:created xsi:type="dcterms:W3CDTF">1996-10-14T23:33:28Z</dcterms:created>
  <dcterms:modified xsi:type="dcterms:W3CDTF">2022-12-19T13:20:39Z</dcterms:modified>
</cp:coreProperties>
</file>