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mc:Ignorable="x15" conformance="strict">
  <fileVersion appName="xl" lastEdited="6" lowestEdited="6" rupBuild="14420"/>
  <workbookPr dateCompatibility="0" defaultThemeVersion="124226"/>
  <mc:AlternateContent xmlns:mc="http://schemas.openxmlformats.org/markup-compatibility/2006">
    <mc:Choice Requires="x15">
      <x15ac:absPath xmlns:x15ac="http://schemas.microsoft.com/office/spreadsheetml/2010/11/ac" url="C:\Users\Vartotoja\Desktop\42 POSĖDIS\SP\TS\"/>
    </mc:Choice>
  </mc:AlternateContent>
  <bookViews>
    <workbookView xWindow="0" yWindow="0" windowWidth="19200" windowHeight="7248" tabRatio="897" activeTab="3"/>
  </bookViews>
  <sheets>
    <sheet name="1 pr" sheetId="75" r:id="rId1"/>
    <sheet name="8 pr" sheetId="78" r:id="rId2"/>
    <sheet name="9 pr" sheetId="68" r:id="rId3"/>
    <sheet name="10 pr" sheetId="79" r:id="rId4"/>
  </sheets>
  <definedNames>
    <definedName name="_xlnm.Print_Area" localSheetId="0">'1 pr'!$A$1:$C$112</definedName>
    <definedName name="_xlnm.Print_Area" localSheetId="3">'10 pr'!$A$1:$F$183</definedName>
    <definedName name="_xlnm.Print_Area" localSheetId="1">'8 pr'!$A$1:$F$107</definedName>
    <definedName name="_xlnm.Print_Area" localSheetId="2">'9 pr'!$A$1:$F$53</definedName>
    <definedName name="_xlnm.Print_Titles" localSheetId="0">'1 pr'!$7:$7</definedName>
    <definedName name="_xlnm.Print_Titles" localSheetId="3">'10 pr'!$9:$9</definedName>
    <definedName name="_xlnm.Print_Titles" localSheetId="1">'8 pr'!$9:$9</definedName>
    <definedName name="_xlnm.Print_Titles" localSheetId="2">'9 pr'!$9:$9</definedName>
  </definedNames>
  <calcPr calcId="152511" fullCalcOnLoad="1"/>
  <fileRecoveryPr autoRecover="0"/>
  <extLst>
    <ext xmlns:x14="http://schemas.microsoft.com/office/spreadsheetml/2009/9/main" uri="{79F54976-1DA5-4618-B147-4CDE4B953A38}">
      <x14:workbookPr/>
    </ext>
  </extLst>
</workbook>
</file>

<file path=xl/calcChain.xml><?xml version="1.0" encoding="utf-8"?>
<calcChain xmlns="http://purl.oclc.org/ooxml/spreadsheetml/main">
  <c r="E84" i="79" l="1"/>
  <c r="E82" i="79" s="1"/>
  <c r="F82" i="79"/>
  <c r="C73" i="75"/>
  <c r="C79" i="75"/>
  <c r="E147" i="79"/>
  <c r="C74" i="75"/>
  <c r="E31" i="78"/>
  <c r="F80" i="78"/>
  <c r="E80" i="78"/>
  <c r="F25" i="68"/>
  <c r="E23" i="78"/>
  <c r="E18" i="78" s="1"/>
  <c r="F19" i="78"/>
  <c r="E19" i="78"/>
  <c r="C27" i="75"/>
  <c r="C28" i="75"/>
  <c r="C25" i="75"/>
  <c r="F100" i="79"/>
  <c r="F99" i="79"/>
  <c r="F98" i="79"/>
  <c r="E99" i="79"/>
  <c r="C55" i="75"/>
  <c r="F49" i="68"/>
  <c r="F47" i="68"/>
  <c r="E49" i="68"/>
  <c r="E47" i="68"/>
  <c r="F44" i="68"/>
  <c r="E44" i="68"/>
  <c r="F43" i="68"/>
  <c r="E43" i="68"/>
  <c r="F42" i="68"/>
  <c r="E42" i="68"/>
  <c r="F41" i="68"/>
  <c r="E41" i="68"/>
  <c r="F40" i="68"/>
  <c r="F38" i="68" s="1"/>
  <c r="E40" i="68"/>
  <c r="E38" i="68" s="1"/>
  <c r="F39" i="68"/>
  <c r="E39" i="68"/>
  <c r="F37" i="68"/>
  <c r="E37" i="68"/>
  <c r="F36" i="68"/>
  <c r="E36" i="68"/>
  <c r="E35" i="68"/>
  <c r="F35" i="68"/>
  <c r="F34" i="68"/>
  <c r="E34" i="68"/>
  <c r="F32" i="68"/>
  <c r="E32" i="68"/>
  <c r="F31" i="68"/>
  <c r="E31" i="68"/>
  <c r="F30" i="68"/>
  <c r="E30" i="68"/>
  <c r="F29" i="68"/>
  <c r="E29" i="68"/>
  <c r="F28" i="68"/>
  <c r="E28" i="68"/>
  <c r="F27" i="68"/>
  <c r="E27" i="68"/>
  <c r="F26" i="68"/>
  <c r="E26" i="68"/>
  <c r="E25" i="68"/>
  <c r="F24" i="68"/>
  <c r="E24" i="68"/>
  <c r="F23" i="68"/>
  <c r="E23" i="68"/>
  <c r="F22" i="68"/>
  <c r="E22" i="68"/>
  <c r="F21" i="68"/>
  <c r="E21" i="68"/>
  <c r="F20" i="68"/>
  <c r="E20" i="68"/>
  <c r="F19" i="68"/>
  <c r="E19" i="68"/>
  <c r="F18" i="68"/>
  <c r="E18" i="68"/>
  <c r="F17" i="68"/>
  <c r="E17" i="68"/>
  <c r="F16" i="68"/>
  <c r="F11" i="68" s="1"/>
  <c r="F10" i="68" s="1"/>
  <c r="F50" i="68" s="1"/>
  <c r="E16" i="68"/>
  <c r="F15" i="68"/>
  <c r="E15" i="68"/>
  <c r="F14" i="68"/>
  <c r="E14" i="68"/>
  <c r="F13" i="68"/>
  <c r="E13" i="68"/>
  <c r="F12" i="68"/>
  <c r="E12" i="68"/>
  <c r="C47" i="75"/>
  <c r="F66" i="79"/>
  <c r="F55" i="79"/>
  <c r="E55" i="79"/>
  <c r="E54" i="79" s="1"/>
  <c r="E57" i="79"/>
  <c r="E58" i="79"/>
  <c r="F57" i="79"/>
  <c r="F75" i="79"/>
  <c r="E75" i="79"/>
  <c r="F60" i="79"/>
  <c r="E60" i="79"/>
  <c r="F59" i="79"/>
  <c r="E59" i="79"/>
  <c r="F56" i="79"/>
  <c r="E56" i="79"/>
  <c r="F58" i="79"/>
  <c r="F70" i="79"/>
  <c r="E70" i="79"/>
  <c r="F64" i="79"/>
  <c r="E64" i="79"/>
  <c r="F71" i="79"/>
  <c r="E71" i="79"/>
  <c r="E66" i="79"/>
  <c r="C70" i="75"/>
  <c r="C101" i="75"/>
  <c r="F80" i="79"/>
  <c r="F79" i="79" s="1"/>
  <c r="F10" i="79" s="1"/>
  <c r="F181" i="79" s="1"/>
  <c r="C91" i="75"/>
  <c r="C82" i="75"/>
  <c r="C11" i="75"/>
  <c r="F33" i="68"/>
  <c r="E33" i="68"/>
  <c r="C89" i="75"/>
  <c r="C87" i="75"/>
  <c r="C81" i="75" s="1"/>
  <c r="C19" i="75"/>
  <c r="C18" i="75" s="1"/>
  <c r="C109" i="75"/>
  <c r="C108" i="75"/>
  <c r="C20" i="75"/>
  <c r="F81" i="79"/>
  <c r="F74" i="79"/>
  <c r="E74" i="79"/>
  <c r="F67" i="79"/>
  <c r="E67" i="79"/>
  <c r="F49" i="79"/>
  <c r="E49" i="79"/>
  <c r="F41" i="79"/>
  <c r="E41" i="79"/>
  <c r="E29" i="79" s="1"/>
  <c r="F145" i="79"/>
  <c r="F144" i="79" s="1"/>
  <c r="E145" i="79"/>
  <c r="E144" i="79"/>
  <c r="F135" i="79"/>
  <c r="E135" i="79"/>
  <c r="C90" i="75"/>
  <c r="E104" i="79"/>
  <c r="E102" i="79"/>
  <c r="F102" i="79"/>
  <c r="E174" i="79"/>
  <c r="E173" i="79"/>
  <c r="F148" i="79"/>
  <c r="E148" i="79"/>
  <c r="F146" i="79"/>
  <c r="E146" i="79"/>
  <c r="F179" i="79"/>
  <c r="E179" i="79"/>
  <c r="E176" i="79" s="1"/>
  <c r="C78" i="75"/>
  <c r="E134" i="79"/>
  <c r="E133" i="79"/>
  <c r="C61" i="75"/>
  <c r="F73" i="79"/>
  <c r="E73" i="79"/>
  <c r="F72" i="79"/>
  <c r="E72" i="79"/>
  <c r="F69" i="79"/>
  <c r="E69" i="79"/>
  <c r="F68" i="79"/>
  <c r="E68" i="79"/>
  <c r="F65" i="79"/>
  <c r="E65" i="79"/>
  <c r="F63" i="79"/>
  <c r="E63" i="79"/>
  <c r="F62" i="79"/>
  <c r="E62" i="79"/>
  <c r="F27" i="78"/>
  <c r="E27" i="78"/>
  <c r="E25" i="78"/>
  <c r="F177" i="79"/>
  <c r="F176" i="79" s="1"/>
  <c r="E177" i="79"/>
  <c r="F171" i="79"/>
  <c r="F168" i="79"/>
  <c r="E171" i="79"/>
  <c r="E168" i="79" s="1"/>
  <c r="F169" i="79"/>
  <c r="E169" i="79"/>
  <c r="F166" i="79"/>
  <c r="F165" i="79"/>
  <c r="E166" i="79"/>
  <c r="E165" i="79"/>
  <c r="F163" i="79"/>
  <c r="E163" i="79"/>
  <c r="F161" i="79"/>
  <c r="F160" i="79"/>
  <c r="E161" i="79"/>
  <c r="E160" i="79"/>
  <c r="E153" i="79" s="1"/>
  <c r="F156" i="79"/>
  <c r="E156" i="79"/>
  <c r="F154" i="79"/>
  <c r="F153" i="79"/>
  <c r="E154" i="79"/>
  <c r="F151" i="79"/>
  <c r="F150" i="79"/>
  <c r="E151" i="79"/>
  <c r="E150" i="79" s="1"/>
  <c r="F139" i="79"/>
  <c r="E139" i="79"/>
  <c r="F138" i="79"/>
  <c r="F137" i="79" s="1"/>
  <c r="F92" i="79" s="1"/>
  <c r="E137" i="79"/>
  <c r="F133" i="79"/>
  <c r="F116" i="79"/>
  <c r="E116" i="79"/>
  <c r="F115" i="79"/>
  <c r="F114" i="79"/>
  <c r="E114" i="79"/>
  <c r="E100" i="79"/>
  <c r="E98" i="79"/>
  <c r="F93" i="79"/>
  <c r="E93" i="79"/>
  <c r="F90" i="79"/>
  <c r="F89" i="79"/>
  <c r="E90" i="79"/>
  <c r="E89" i="79"/>
  <c r="F87" i="79"/>
  <c r="F86" i="79"/>
  <c r="E87" i="79"/>
  <c r="E86" i="79"/>
  <c r="E79" i="79"/>
  <c r="F77" i="79"/>
  <c r="E77" i="79"/>
  <c r="F76" i="79"/>
  <c r="E76" i="79"/>
  <c r="F61" i="79"/>
  <c r="E61" i="79"/>
  <c r="F52" i="79"/>
  <c r="E52" i="79"/>
  <c r="F29" i="79"/>
  <c r="F14" i="79"/>
  <c r="E14" i="79"/>
  <c r="F11" i="79"/>
  <c r="E11" i="79"/>
  <c r="F102" i="78"/>
  <c r="E102" i="78"/>
  <c r="F100" i="78"/>
  <c r="E100" i="78"/>
  <c r="F87" i="78"/>
  <c r="E87" i="78"/>
  <c r="F85" i="78"/>
  <c r="E85" i="78"/>
  <c r="F83" i="78"/>
  <c r="E83" i="78"/>
  <c r="F81" i="78"/>
  <c r="E81" i="78"/>
  <c r="F79" i="78"/>
  <c r="E79" i="78"/>
  <c r="F77" i="78"/>
  <c r="E77" i="78"/>
  <c r="F75" i="78"/>
  <c r="E75" i="78"/>
  <c r="F73" i="78"/>
  <c r="E73" i="78"/>
  <c r="F71" i="78"/>
  <c r="E71" i="78"/>
  <c r="F69" i="78"/>
  <c r="E69" i="78"/>
  <c r="E64" i="78" s="1"/>
  <c r="F67" i="78"/>
  <c r="F64" i="78" s="1"/>
  <c r="E67" i="78"/>
  <c r="F65" i="78"/>
  <c r="E65" i="78"/>
  <c r="F62" i="78"/>
  <c r="E62" i="78"/>
  <c r="E46" i="78"/>
  <c r="F59" i="78"/>
  <c r="E59" i="78"/>
  <c r="F47" i="78"/>
  <c r="F46" i="78"/>
  <c r="E47" i="78"/>
  <c r="F44" i="78"/>
  <c r="E44" i="78"/>
  <c r="E43" i="78"/>
  <c r="E42" i="78" s="1"/>
  <c r="F42" i="78"/>
  <c r="E32" i="78"/>
  <c r="E29" i="78"/>
  <c r="F29" i="78"/>
  <c r="F25" i="78"/>
  <c r="F18" i="78"/>
  <c r="F17" i="78" s="1"/>
  <c r="F15" i="78"/>
  <c r="E15" i="78"/>
  <c r="F13" i="78"/>
  <c r="E13" i="78"/>
  <c r="F11" i="78"/>
  <c r="F10" i="78" s="1"/>
  <c r="E11" i="78"/>
  <c r="E10" i="78"/>
  <c r="C107" i="75"/>
  <c r="C100" i="75" s="1"/>
  <c r="C98" i="75"/>
  <c r="C65" i="75"/>
  <c r="C50" i="75" s="1"/>
  <c r="C48" i="75"/>
  <c r="C30" i="75"/>
  <c r="C26" i="75"/>
  <c r="C22" i="75" s="1"/>
  <c r="C21" i="75" s="1"/>
  <c r="C15" i="75"/>
  <c r="C8" i="75" s="1"/>
  <c r="C9" i="75"/>
  <c r="F45" i="68"/>
  <c r="F48" i="68"/>
  <c r="E45" i="68"/>
  <c r="E48" i="68"/>
  <c r="F54" i="79"/>
  <c r="E92" i="79"/>
  <c r="E104" i="78" l="1"/>
  <c r="E10" i="79"/>
  <c r="E181" i="79" s="1"/>
  <c r="E17" i="78"/>
  <c r="C97" i="75"/>
  <c r="C99" i="75" s="1"/>
  <c r="C110" i="75" s="1"/>
  <c r="E11" i="68"/>
  <c r="E10" i="68" s="1"/>
  <c r="E50" i="68" s="1"/>
  <c r="C17" i="75"/>
  <c r="F104" i="78"/>
</calcChain>
</file>

<file path=xl/sharedStrings.xml><?xml version="1.0" encoding="utf-8"?>
<sst xmlns="http://purl.oclc.org/ooxml/spreadsheetml/main" count="773" uniqueCount="428">
  <si>
    <t>Eil. Nr.</t>
  </si>
  <si>
    <t>Kėdainių bendruomenės socialinis centras</t>
  </si>
  <si>
    <t>Dotnuvos slaugos namai</t>
  </si>
  <si>
    <t xml:space="preserve">Kėdainių rajono savivaldybės administracija </t>
  </si>
  <si>
    <t>Kėdainių rajono savivaldybės administracijos Dotnuvos seniūnija</t>
  </si>
  <si>
    <t>Kėdainių rajono savivaldybės administracijos Gudžiūnų seniūnija</t>
  </si>
  <si>
    <t>Kėdainių rajono savivaldybės administracijos Krakių seniūnija</t>
  </si>
  <si>
    <t>Kėdainių rajono savivaldybės administracijos Josvainių seniūnija</t>
  </si>
  <si>
    <t>Kėdainių rajono savivaldybės administracijos Kėdainių miesto seniūnija</t>
  </si>
  <si>
    <t>Kėdainių rajono savivaldybės administracijos Pelėdnagių seniūnija</t>
  </si>
  <si>
    <t>Kėdainių rajono savivaldybės administracijos Pernaravos seniūnija</t>
  </si>
  <si>
    <t>Kėdainių rajono savivaldybės administracijos Šėtos seniūnija</t>
  </si>
  <si>
    <t>Kėdainių rajono savivaldybės administracijos Surviliškio seniūnija</t>
  </si>
  <si>
    <t>Kėdainių rajono savivaldybės administracijos Truskavos seniūnija</t>
  </si>
  <si>
    <t>Kėdainių rajono savivaldybės administracijos Vilainių seniūnija</t>
  </si>
  <si>
    <t>Josvainių socialinis ir ugdymo centras</t>
  </si>
  <si>
    <t>Asignavimų valdytojas</t>
  </si>
  <si>
    <t>Iš viso</t>
  </si>
  <si>
    <t>2</t>
  </si>
  <si>
    <t>Šėtos socialinis ir ugdymo  centras</t>
  </si>
  <si>
    <t>Iš viso asignavimų</t>
  </si>
  <si>
    <t>03</t>
  </si>
  <si>
    <t>SOCIALINĖS APSAUGOS PLĖTOJIMAS</t>
  </si>
  <si>
    <t>10.04.01.01</t>
  </si>
  <si>
    <t>10.01.02.02</t>
  </si>
  <si>
    <t>11</t>
  </si>
  <si>
    <t>SAVIVALDYBĖS VALDYMO TOBULINIMAS</t>
  </si>
  <si>
    <t>Kėdainių rajono savivaldybės priešgaisrinė tarnyba</t>
  </si>
  <si>
    <t>03.02.01.01</t>
  </si>
  <si>
    <t>iš jų darbo užmokesčiui</t>
  </si>
  <si>
    <t>10.04.01.40</t>
  </si>
  <si>
    <t>09</t>
  </si>
  <si>
    <t xml:space="preserve"> ŽEMĖS ŪKIO PLĖTRA IR MELIORACIJA</t>
  </si>
  <si>
    <t>11.1</t>
  </si>
  <si>
    <t>11.2</t>
  </si>
  <si>
    <t>11.3</t>
  </si>
  <si>
    <t>11.4</t>
  </si>
  <si>
    <t>01.06.01.02</t>
  </si>
  <si>
    <t>04.01.02.01</t>
  </si>
  <si>
    <t>Kėdainių r. Krakių Mikalojaus Katkaus gimnazija</t>
  </si>
  <si>
    <t>Kėdainių r. Dotnuvos pagrindinė mokykla</t>
  </si>
  <si>
    <t>Kėdainių r. Surviliškio Vinco Svirskio pagrindinė mokykla</t>
  </si>
  <si>
    <t>Kėdainių krašto muziejus</t>
  </si>
  <si>
    <t>Kėdainių kultūros centras</t>
  </si>
  <si>
    <t>Kėdainių šviesioji gimnazija</t>
  </si>
  <si>
    <t>Kėdainių kalbų mokykla</t>
  </si>
  <si>
    <t>Kėdainių muzikos  mokykla</t>
  </si>
  <si>
    <t>Kėdainių rajono savivaldybės Mikalojaus Daukšos viešoji biblioteka</t>
  </si>
  <si>
    <t>Kėdainių dailės mokykla</t>
  </si>
  <si>
    <t>Funkcijos kodas</t>
  </si>
  <si>
    <t>01</t>
  </si>
  <si>
    <t>ŠVIETIMAS IR UGDYMAS</t>
  </si>
  <si>
    <t>09.01.01.01</t>
  </si>
  <si>
    <t>09.01.02.01</t>
  </si>
  <si>
    <t>09.02.02.01</t>
  </si>
  <si>
    <t>09.02.01.01</t>
  </si>
  <si>
    <t>09.05.01.01</t>
  </si>
  <si>
    <t>02</t>
  </si>
  <si>
    <t>SVEIKATOS APSAUGA</t>
  </si>
  <si>
    <t>07.06.01.02</t>
  </si>
  <si>
    <t>10.01.02.02
10.07.01.01
10.09.01.01</t>
  </si>
  <si>
    <t>10.02.01.02</t>
  </si>
  <si>
    <t>10.07.01.01</t>
  </si>
  <si>
    <t>04</t>
  </si>
  <si>
    <t>08.01.01.03</t>
  </si>
  <si>
    <t>05</t>
  </si>
  <si>
    <t>KULTŪROS VEIKLOS PLĖTRA</t>
  </si>
  <si>
    <t>08.02.01.08</t>
  </si>
  <si>
    <t>08.02.01.01</t>
  </si>
  <si>
    <t>08.02.01.02</t>
  </si>
  <si>
    <t>07</t>
  </si>
  <si>
    <t>INFRASTRUKTŪROS OBJEKTŲ  PRIEŽIŪRA IR PLĖTRA</t>
  </si>
  <si>
    <t>08</t>
  </si>
  <si>
    <t>APLINKOS APSAUGA</t>
  </si>
  <si>
    <t>10</t>
  </si>
  <si>
    <t>PARAMA VERSLUI IR VERSLO PLĖTRA</t>
  </si>
  <si>
    <t xml:space="preserve">10.02.01.02 </t>
  </si>
  <si>
    <t>Kėdainių suaugusiųjų ir jaunimo mokymo centras</t>
  </si>
  <si>
    <t>Kėdainių sporto centras</t>
  </si>
  <si>
    <t xml:space="preserve">                                                                                         ___________________________</t>
  </si>
  <si>
    <t xml:space="preserve">10.06.01.01 10.07.01.01
10.09.01.09 </t>
  </si>
  <si>
    <t>Eil.   Nr.</t>
  </si>
  <si>
    <t>09.02.02.01
09.05.01.01</t>
  </si>
  <si>
    <t>Kėdainių Juozo Paukštelio progimnazija</t>
  </si>
  <si>
    <t>01.06.01.04</t>
  </si>
  <si>
    <t>05.03.01.01</t>
  </si>
  <si>
    <t>Kėdainių r. Akademijos gimnazija</t>
  </si>
  <si>
    <t>Kėdainių r. Josvainių gimnazija</t>
  </si>
  <si>
    <t>Kėdainių r. Labūnavos pagrindinė mokykla</t>
  </si>
  <si>
    <t>Kėdainių r. Truskavos pagrindinė mokykla</t>
  </si>
  <si>
    <t>Kėdainių r. Šėtos  gimnazija</t>
  </si>
  <si>
    <t>10.06.01.01 10.07.01.01
10.09.01.09</t>
  </si>
  <si>
    <t>05.06.01.01</t>
  </si>
  <si>
    <t>Kėdainių r. Miegėnų pagrindinė mokykla</t>
  </si>
  <si>
    <t>Kėdainių pagalbos šeimai centras</t>
  </si>
  <si>
    <t>Kėdainių lopšelis-darželis „Pasaka“</t>
  </si>
  <si>
    <t>Kėdainių lopšelis-darželis „Puriena“</t>
  </si>
  <si>
    <t>Kėdainių lopšelis-darželis „Varpelis“</t>
  </si>
  <si>
    <t>Kėdainių lopšelis-darželis „Vyturėlis“</t>
  </si>
  <si>
    <t>Kėdainių lopšelis-darželis „Žilvitis“</t>
  </si>
  <si>
    <t>Kėdainių lopšelis-darželis „Vaikystė“</t>
  </si>
  <si>
    <t>Lietuvos sporto universiteto Kėdainių „Aušros“ progimnazija</t>
  </si>
  <si>
    <t>Kėdainių „Ryto“ progimnazija</t>
  </si>
  <si>
    <t>Kėdainių „Atžalyno“ gimnazija</t>
  </si>
  <si>
    <t>Kėdainių lopšelis-darželis „Aviliukas“</t>
  </si>
  <si>
    <t>15.1</t>
  </si>
  <si>
    <t>11.5</t>
  </si>
  <si>
    <t>Mokesčiai už valstybinius gamtos išteklius</t>
  </si>
  <si>
    <t>Kėdainių r. Vilainių mokykla-darželis „Obelėlė“</t>
  </si>
  <si>
    <t xml:space="preserve">                                                                           Kėdainių rajono savivaldybės tarybos</t>
  </si>
  <si>
    <t xml:space="preserve">SPORTO VEIKLOS PLĖTRA </t>
  </si>
  <si>
    <t>Kita tikslinė dotacija mokyklos specialiųjų ugdymosi poreikių turintiems mokiniams</t>
  </si>
  <si>
    <t>Kėdainių r. Miegenų pagrindinė mokykla</t>
  </si>
  <si>
    <t>Kėdainių švietimo pagalbos tarnyba</t>
  </si>
  <si>
    <t>Kėdainių rajono savivaldybės visuomenės sveikatos biuras</t>
  </si>
  <si>
    <t xml:space="preserve">09.02.01.01   </t>
  </si>
  <si>
    <t>09.05.01.03</t>
  </si>
  <si>
    <t>07.04.01.02</t>
  </si>
  <si>
    <t>8 priedas</t>
  </si>
  <si>
    <t>02.1</t>
  </si>
  <si>
    <t>02.2</t>
  </si>
  <si>
    <t>02.3</t>
  </si>
  <si>
    <t>Visuomenės psichikos sveikatos gerinimui</t>
  </si>
  <si>
    <t>Neveiksnių asmenų būklės peržiūrėjimui</t>
  </si>
  <si>
    <t>03.1</t>
  </si>
  <si>
    <t>Socialinėms paslaugoms:
Socialinei globai asmenims su sunkia negalia</t>
  </si>
  <si>
    <t xml:space="preserve"> iš jų: finansuoti dienos socialinės globos paslaugas Kėdainių socialinės globos namuose</t>
  </si>
  <si>
    <t>03.2</t>
  </si>
  <si>
    <t>Socialinėms paslaugoms:
 Socialinei priežiūrai socialinės rizikos šeimoms</t>
  </si>
  <si>
    <t>03.3</t>
  </si>
  <si>
    <t>Socialinių išmokų ir kompensacijų skaičiavimas ir mokėjimas</t>
  </si>
  <si>
    <t xml:space="preserve">10.03.01.01
10.07.01.01
10.09.01.09 </t>
  </si>
  <si>
    <t>03.4</t>
  </si>
  <si>
    <t>Išlaidoms už įsigytus produktus, mokinio reikmenis ir socialinei paramai mokiniams administruoti</t>
  </si>
  <si>
    <t>03.5</t>
  </si>
  <si>
    <t>Būsto nuomos ar išperkamosios būsto nuomos mokesčių dalies kompensacijoms</t>
  </si>
  <si>
    <t>09.1</t>
  </si>
  <si>
    <t>Žemės ūkio funkcijoms vykdyti</t>
  </si>
  <si>
    <t>04.02.01.04</t>
  </si>
  <si>
    <t>09.2</t>
  </si>
  <si>
    <t>iš jų: polderiams eksploatuoti</t>
  </si>
  <si>
    <t>04.02.01.01</t>
  </si>
  <si>
    <t>Tvarkyti erdvinių duomenų rinkinį</t>
  </si>
  <si>
    <t>04.02.01.02</t>
  </si>
  <si>
    <t>Priešgaisrinių tarnybų organizavimas</t>
  </si>
  <si>
    <t>Gyventojų registro tvarkymas ir duomenų valstybės registrui teikimas</t>
  </si>
  <si>
    <t>01.03.03.02</t>
  </si>
  <si>
    <t>Archyvinių dokumentų tvarkymas</t>
  </si>
  <si>
    <t>Civilinės būklės aktų registravimas</t>
  </si>
  <si>
    <t>Civilinės saugos organizavimas</t>
  </si>
  <si>
    <t>02.02.01.01</t>
  </si>
  <si>
    <t>11.6</t>
  </si>
  <si>
    <t>Valstybinės kalbos vartojimo ir taisyklingumo kontrolė</t>
  </si>
  <si>
    <t>11.7</t>
  </si>
  <si>
    <t>Mobilizacijos administravimas</t>
  </si>
  <si>
    <t>02.01.01.04</t>
  </si>
  <si>
    <t>11.9</t>
  </si>
  <si>
    <t>Jaunimo teisių apsauga</t>
  </si>
  <si>
    <t>11.10</t>
  </si>
  <si>
    <t>Pirminė teisinė pagalba</t>
  </si>
  <si>
    <t>11.11</t>
  </si>
  <si>
    <t>Duomenų teikimas Valstybės suteiktos pagalbos registrui</t>
  </si>
  <si>
    <t>11.12</t>
  </si>
  <si>
    <t>Gyvenamosios vietos deklaravimas</t>
  </si>
  <si>
    <t>11.13</t>
  </si>
  <si>
    <t>Užimtumo didinimo programos įgyvendinimas</t>
  </si>
  <si>
    <t xml:space="preserve">                                                                                               ________________________________</t>
  </si>
  <si>
    <t>Specialioji tikslinė dotacija ugdymo reikmėms finansuoti</t>
  </si>
  <si>
    <t>09.02.01.01
09.02.02.01</t>
  </si>
  <si>
    <t>Kėdainių švietimo pagalbos tarnyba iš viso:</t>
  </si>
  <si>
    <t>Šėtos socialinis ir ugdymo centras</t>
  </si>
  <si>
    <t xml:space="preserve"> 09.05.01.03</t>
  </si>
  <si>
    <t>Kėdainių rajono savivaldybės 2021 m. valstybei nuosavybės teise priklausančių melioracijos statinių priežiūrai ir remonto darbams įskaitant priešprojektinius tyrinėjimus, techninės sąmatinės dokumentacijos sudarymą, ekspertizę, darbų techninę priežiūrą bei kitus susijusius darbus</t>
  </si>
  <si>
    <t>13.1</t>
  </si>
  <si>
    <t>29.1</t>
  </si>
  <si>
    <t>29.2</t>
  </si>
  <si>
    <t>29.3</t>
  </si>
  <si>
    <t>29.4</t>
  </si>
  <si>
    <t>Kėdainių rajono savivaldybės administracija</t>
  </si>
  <si>
    <t xml:space="preserve"> 09.05.01.01</t>
  </si>
  <si>
    <t>01.1</t>
  </si>
  <si>
    <t>01.2</t>
  </si>
  <si>
    <t>01.3</t>
  </si>
  <si>
    <t>05.2</t>
  </si>
  <si>
    <t>05.1</t>
  </si>
  <si>
    <t>09.08.01.09</t>
  </si>
  <si>
    <t>08.1</t>
  </si>
  <si>
    <t>Koordinuotai teikiamų paslaugų vaikams nuo gimimo iki 18 metų (turintiems didelių ir labai didelių specialiųjų ugdymosi poreikių − iki 21 metų) ir vaiko atstovams koordinavimas</t>
  </si>
  <si>
    <t>11.14</t>
  </si>
  <si>
    <t>Kita dotacija įrengti vandens transporto priemonių nuleidimo vietą Angirių tvenkinyje</t>
  </si>
  <si>
    <t>Kita dotacija neformaliajam vaikų švietimui</t>
  </si>
  <si>
    <t>Kita dotacija akredituotai vaikų dienos socialinei priežiūrai organizuoti</t>
  </si>
  <si>
    <t>Rekonstruoti Kėdainių rajono savivaldybės kultūros centro pastatą Kėdainiuose, J. Basanavičiaus g. 24</t>
  </si>
  <si>
    <t>04.1</t>
  </si>
  <si>
    <t>05.3</t>
  </si>
  <si>
    <t xml:space="preserve">                                                 1 priedas</t>
  </si>
  <si>
    <t xml:space="preserve">             Pajamų pavadinimas</t>
  </si>
  <si>
    <t>Suma (tūkst. Eur)</t>
  </si>
  <si>
    <t xml:space="preserve">Gyventojų pajamų mokestis </t>
  </si>
  <si>
    <t>Žemės mokestis</t>
  </si>
  <si>
    <t>Paveldimo turto mokestis</t>
  </si>
  <si>
    <t>Nekilnojamojo turto mokestis</t>
  </si>
  <si>
    <t>Mokestis už aplinkos teršimą</t>
  </si>
  <si>
    <t>Dotacija savivaldybėms iš Europos Sąjungos, kitos tarptautinės finansinės paramos ir bendrojo finansavimo lėšų einamiesiems tikslams</t>
  </si>
  <si>
    <t>Dotacija savivaldybėms iš Europos Sąjungos, kitos tarptautinės finansinės paramos ir bendrojo finansavimo lėšų turtui įsigyti</t>
  </si>
  <si>
    <t xml:space="preserve">     dalyvauti rengiant ir vykdant mobilizaciją</t>
  </si>
  <si>
    <t xml:space="preserve">     valstybinės kalbos vartojimo ir taisyklingumo kontrolei</t>
  </si>
  <si>
    <t xml:space="preserve">     socialinėms išmokoms ir kompensacijoms skaičiuoti ir mokėti </t>
  </si>
  <si>
    <t xml:space="preserve">     socialinei paramai mokiniams </t>
  </si>
  <si>
    <t xml:space="preserve">     socialinėms paslaugoms</t>
  </si>
  <si>
    <t xml:space="preserve">     jaunimo teisių apsaugai</t>
  </si>
  <si>
    <t xml:space="preserve">     būsto nuomos ar išperkamosios būsto nuomos mokesčių dalies kompensacijoms</t>
  </si>
  <si>
    <t xml:space="preserve">     užimtumo didinimo programai įgyvendinti</t>
  </si>
  <si>
    <t xml:space="preserve">     civilinės būklės aktams registruoti</t>
  </si>
  <si>
    <t xml:space="preserve">     valstybės garantuojamai pirminei teisinei pagalbai teikti</t>
  </si>
  <si>
    <t xml:space="preserve">     gyventojų registrui tvarkyti ir duomenims valstybės registrams teikti</t>
  </si>
  <si>
    <t xml:space="preserve">     civilinei saugai</t>
  </si>
  <si>
    <t xml:space="preserve">     priešgaisrinei saugai</t>
  </si>
  <si>
    <t xml:space="preserve">     gyvenamosios vietos deklaravimo duomenų ir gyvenamosios vietos neturinčių asmenų apskaitos duomenims tvarkyti</t>
  </si>
  <si>
    <t xml:space="preserve">     žemės ūkio funkcijoms atlikti</t>
  </si>
  <si>
    <t xml:space="preserve">     melioracijai</t>
  </si>
  <si>
    <t xml:space="preserve">     erdvinių duomenų rinkinio tvarkymui</t>
  </si>
  <si>
    <t xml:space="preserve">     savivaldybėms priskirtiems archyviniems dokumentams tvarkyti</t>
  </si>
  <si>
    <t xml:space="preserve">     duomenų teikimas Valstybės suteiktos pagalbos registrui</t>
  </si>
  <si>
    <t xml:space="preserve">     neveiksnių asmenų būklės peržiūrėjimui</t>
  </si>
  <si>
    <t xml:space="preserve">     savižudžių prevencijos priemonių įgyvendinimui</t>
  </si>
  <si>
    <t>Kita tikslinė dotacija, iš jos:</t>
  </si>
  <si>
    <t xml:space="preserve">     mokyklos specialiųjų ugdymosi poreikių turintiems mokiniams</t>
  </si>
  <si>
    <t>Kitos dotacijos, iš jų:</t>
  </si>
  <si>
    <t xml:space="preserve">      valstybės biudžeto lėšos, skirtos neformaliajam vaikų švietimui </t>
  </si>
  <si>
    <t>Dividendai</t>
  </si>
  <si>
    <t xml:space="preserve">Nuomos mokestis už valstybinę žemę ir valstybinio vidaus  vandenų fondo vandens telkinius  </t>
  </si>
  <si>
    <t>Mokesčiai už medžiojamųjų gyvūnų išteklius</t>
  </si>
  <si>
    <t>Pajamos už prekes ir paslaugas</t>
  </si>
  <si>
    <t>Pajamos už ilgalaikio ir trumpalaikio materialiojo turto nuomą</t>
  </si>
  <si>
    <t xml:space="preserve">Įmokos už išlaikymą švietimo, socialinės apsaugos ir kitose  įstaigose </t>
  </si>
  <si>
    <t>Valstybės rinkliava</t>
  </si>
  <si>
    <t>Vietinė rinkliava</t>
  </si>
  <si>
    <t>Pajamos iš baudų ir konfiskacijos</t>
  </si>
  <si>
    <t>Kitos neišvardytos pajamos</t>
  </si>
  <si>
    <t>Materialiojo ir nematerialiojo turto realizavimo pajamos</t>
  </si>
  <si>
    <t>FINANSINIŲ ĮSIPAREIGOJIMŲ PRISIĖMIMO (SKOLINIMOSI) PAJAMOS</t>
  </si>
  <si>
    <t xml:space="preserve">Biudžeto apyvartos </t>
  </si>
  <si>
    <t>Prekių ir paslaugų</t>
  </si>
  <si>
    <t>Ilgalaikio ir trumpalaikio materialiojo turto nuomos</t>
  </si>
  <si>
    <t>Įmokų už išlaikymą švietimo, socialinės apsaugos ir kitose įstaigose</t>
  </si>
  <si>
    <t xml:space="preserve">Aplinkos apsaugos rėmimo programos apyvartos </t>
  </si>
  <si>
    <t>Pajamų už vietinę rinkliavą</t>
  </si>
  <si>
    <t>Pajamų už parduotą turtą</t>
  </si>
  <si>
    <t>Dotacija savivaldybėms iš Europos Sąjungos, kitos tarptautinės finansinės paramos ir bendrojo finansavimo lėšų turtui įsigyti iš jų:</t>
  </si>
  <si>
    <t>IŠ VISO (34+35)</t>
  </si>
  <si>
    <t>________________________________________________</t>
  </si>
  <si>
    <t xml:space="preserve">                                                                 Kėdainių rajono savivaldybės tarybos</t>
  </si>
  <si>
    <t>Kita dotacija išlaidoms, susijusioms su ugdymu, maitinimu ir pavėžėjimu socialinę riziką patiriantiems vaikams ikimokykliniame ugdyme</t>
  </si>
  <si>
    <t>Kita dotacija „Sosnovskio barsčio naikinimas Kėdainių rajone“</t>
  </si>
  <si>
    <t>16.1</t>
  </si>
  <si>
    <t>Organizuoti ir vykdyti mokymosi pasiekimų patikrinimus</t>
  </si>
  <si>
    <t>Kėdainių švietimo pagalbos tarnyba (pedagoginė - psichologinė tarnyba)</t>
  </si>
  <si>
    <t xml:space="preserve"> VšĮ Alternatyviojo ugdymo centras</t>
  </si>
  <si>
    <t xml:space="preserve"> VšĮ „Pažinimo taku“</t>
  </si>
  <si>
    <t>Kėdainių „Spindulio“ mokykla</t>
  </si>
  <si>
    <t>2022 METŲ VALSTYBĖS BIUDŽETO SPECIALIOS TIKSLINĖS DOTACIJOS SAVIVALDYBĖS BIUDŽETUI VALSTYBINĖMS (VALSTYBĖS PERDUOTOMS SAVIVALDYBEI) FUNKCIJOMS ATLIKTI ASIGNAVIMAI</t>
  </si>
  <si>
    <t>2022 METŲ VALSTYBĖS BIUDŽETO SPECIALIOS TIKSLINĖS DOTACIJOS SAVIVALDYBĖS BIUDŽETUI UGDYMO REIKMĖMS FINANSUOTI ASIGNAVIMAI</t>
  </si>
  <si>
    <t xml:space="preserve">2022 METŲ VALSTYBĖS BIUDŽETO SPECIALIOS TIKSLINĖS DOTACIJOS SAVIVALDYBĖS BIUDŽETUI KITI ASIGNAVIMAI </t>
  </si>
  <si>
    <t>Progra- mos kodas</t>
  </si>
  <si>
    <t>9 priedas</t>
  </si>
  <si>
    <t xml:space="preserve">                                                              Kėdainių rajono savivaldybės tarybos</t>
  </si>
  <si>
    <t>10 priedas</t>
  </si>
  <si>
    <t xml:space="preserve">                                                    Kėdainių rajono savivaldybės tarybos</t>
  </si>
  <si>
    <t xml:space="preserve">Modernizuoti Kėdainių šviesiosios gimnazijos pastatą Kėdainiuose, Didžioji g. 60 </t>
  </si>
  <si>
    <t xml:space="preserve">Kita dotacija 2022 metais biudžetinių įstaigų vadovaujančių darbuotojų minimaliems pareiginės algos koeficientams padidinti, siekiant gerinti jų darbo apmokėjimo sąlygas </t>
  </si>
  <si>
    <t>01.06.01.03</t>
  </si>
  <si>
    <t>Valstybinės žemės ir kito valstybinio turto valdymas, naudojimas ir disponavimas juo patikėjimo teise</t>
  </si>
  <si>
    <t>Kita dotacija savivaldybės viešajai bibliotekai dokumentams 2022 metais įsigyti</t>
  </si>
  <si>
    <t xml:space="preserve"> MOKESČIAI (2+3+4+8)</t>
  </si>
  <si>
    <t>Gyventojų pajamų mokestis, mokamas už pajamas, gautas iš veiklos, kuria verčiamasi turint verslo liudijimą</t>
  </si>
  <si>
    <t>Turto mokesčiai (5+6+7)</t>
  </si>
  <si>
    <t>Prekių ir paslaugų mokesčiai (9)</t>
  </si>
  <si>
    <t>DOTACIJOS (11+12+16)</t>
  </si>
  <si>
    <t>Dotacija savivaldybėms iš Europos Sąjungos, kitos tarptautinės finansinės paramos ir bendrojo finansavimo lėšų (11.1+11.2 )</t>
  </si>
  <si>
    <t>Speciali tikslinė dotacija (13+14+15), iš jos:</t>
  </si>
  <si>
    <t>Valstybinėms (perduotoms savivaldybėms) funkcijoms atlikti, iš jos:</t>
  </si>
  <si>
    <t>13.2</t>
  </si>
  <si>
    <t>13.3</t>
  </si>
  <si>
    <t>13.4</t>
  </si>
  <si>
    <t>13.5</t>
  </si>
  <si>
    <t>13.6</t>
  </si>
  <si>
    <t>13.7</t>
  </si>
  <si>
    <t>13.8</t>
  </si>
  <si>
    <t>13.9</t>
  </si>
  <si>
    <t>13.10</t>
  </si>
  <si>
    <t>13.11</t>
  </si>
  <si>
    <t>13.12</t>
  </si>
  <si>
    <t>13.13</t>
  </si>
  <si>
    <t>13.14</t>
  </si>
  <si>
    <t>13.15</t>
  </si>
  <si>
    <t>13.16</t>
  </si>
  <si>
    <t>13.17</t>
  </si>
  <si>
    <t xml:space="preserve">     savivaldybei priskirtai valstybinei žemei ir kitam valstybės turtui valdyti, naudoti ir disponuoti juo patikėjimo teise</t>
  </si>
  <si>
    <t>13.18</t>
  </si>
  <si>
    <t>13.19</t>
  </si>
  <si>
    <t>13.20</t>
  </si>
  <si>
    <t>13.21</t>
  </si>
  <si>
    <t xml:space="preserve">     sveikos gyvensenos plėtojimui ir stiprinimui, visuomenės sveikatos stebėsenai</t>
  </si>
  <si>
    <t>13.22</t>
  </si>
  <si>
    <t>13.23</t>
  </si>
  <si>
    <t>13.24</t>
  </si>
  <si>
    <t xml:space="preserve">     koordinuotai teikiamų paslaugų vaikams nuo gimimo iki 18 metų (turintiems didelių ir labai didelių specialiųjų ugdymosi poreikių − iki 21 metų) ir vaiko atstovams </t>
  </si>
  <si>
    <t>Ugdymo reikmėms finansuoti</t>
  </si>
  <si>
    <t>16.2</t>
  </si>
  <si>
    <t>16.3</t>
  </si>
  <si>
    <t xml:space="preserve">     valstybės biudžeto lėšos, skirtos užtikrinti 2022 m. ugdymo, maitinimo ir pavėžėjimo lėšas socialinę riziką patiriantiems vaikams ikimokykliniame ugdyme</t>
  </si>
  <si>
    <t>16.4</t>
  </si>
  <si>
    <t xml:space="preserve">      savivaldybės viešajai bibliotekai dokumentams 2022 metais įsigyti</t>
  </si>
  <si>
    <t>16.5</t>
  </si>
  <si>
    <t xml:space="preserve">      valstybės biudžeto lėšos, skirtos 2022 m. akredituotai vaikų dienos socialinei priežiūrai organizuoti, teikti ir administruoti</t>
  </si>
  <si>
    <t>16.6</t>
  </si>
  <si>
    <t>16.7</t>
  </si>
  <si>
    <t xml:space="preserve">      valstybės biudžeto lėšos, skirtos 2022 metais biudžetinių įstaigų vadovaujančių darbuotojų minimaliems pareiginės algos koeficientams padidinti, siekiant gerinti jų darbo apmokėjimo sąlygas </t>
  </si>
  <si>
    <t>KITOS PAJAMOS (18+23+27+30+31+32)</t>
  </si>
  <si>
    <t>Turto pajamos (19+20+21+22)</t>
  </si>
  <si>
    <t>Pajamos už prekes ir paslaugas (24+25+26)</t>
  </si>
  <si>
    <t>Rinkliavos (28+29 )</t>
  </si>
  <si>
    <t xml:space="preserve">                                       IŠ VISO PAJAMŲ IR DOTACIJŲ (1+10+17)</t>
  </si>
  <si>
    <t>IŠ VISO (33+34)</t>
  </si>
  <si>
    <t>2021 METŲ NEPANAUDOTOS BIUDŽETO PAJAMOS, IŠ JŲ:</t>
  </si>
  <si>
    <t>16.8</t>
  </si>
  <si>
    <t>Kita dotacija valstybės investicijų 2022 m. programoje numatytoms kapitalo investicijoms</t>
  </si>
  <si>
    <t xml:space="preserve">10.01.02.02
</t>
  </si>
  <si>
    <t>08.2</t>
  </si>
  <si>
    <t>01.4</t>
  </si>
  <si>
    <t>01.5</t>
  </si>
  <si>
    <t>11.8</t>
  </si>
  <si>
    <t>04.05.01.02</t>
  </si>
  <si>
    <t xml:space="preserve">       valstybės biudžeto lėšos, skirtos pedagoginių darbuotojų, išlaikomų iš savivaldybės biudžeto lėšų (išskyrus valstybės biudžeto specialias tikslines dotacijas),darbo užmokesčiui didinti</t>
  </si>
  <si>
    <t>16.9</t>
  </si>
  <si>
    <t>16.10</t>
  </si>
  <si>
    <t xml:space="preserve">      įrengti vandens transporto priemonių nuleidimo vietą Angirių tvenkinyje</t>
  </si>
  <si>
    <t>Kita dotacija pedagoginių darbuotojų, išlaikomų iš savivaldybės biudžeto lėšų (išskyrus valstybės biudžeto specialias tikslines dotacijas),darbo užmokesčiui didinti</t>
  </si>
  <si>
    <t xml:space="preserve">     valstybės investicijų 2022 m. programoje numatytoms kapitalo investicijoms</t>
  </si>
  <si>
    <t xml:space="preserve">       valstybės biudžeto lėšos, skirtos užtikrinti 2022 metais Lietuvos Respublikos piniginės socialinės paramos nepasiturintiems gyventojams įstatymo įgyvendinimą dėl padidėjusių išlaidų būsto šildymo išlaidų kompensacijoms teikti </t>
  </si>
  <si>
    <t xml:space="preserve"> Sveikos gyvensenos plėtojimui ir stiprinimui, visuomenės sveikatos stebėsenai</t>
  </si>
  <si>
    <t>16.11</t>
  </si>
  <si>
    <t>16.12</t>
  </si>
  <si>
    <t xml:space="preserve">       valstybės biudžeto lėšos, skirtos 2022 metais asmeninei pagalbai teikti ir administruoti</t>
  </si>
  <si>
    <t xml:space="preserve">       valstybės biudžeto lėšos, skirtos socialinių paslaugų srities darbuotojų minimaliems pareiginės algos pastoviosios dalies koeficientams didinti</t>
  </si>
  <si>
    <t>Kita dotacija 2022 metais asmeninei pagalbai teikti ir administruoti</t>
  </si>
  <si>
    <t>Kita dotacija socialinių paslaugų srities darbuotojų minimaliems pareiginės algos pastoviosios dalies koeficientams didinti</t>
  </si>
  <si>
    <t>16.13</t>
  </si>
  <si>
    <t xml:space="preserve">       valstybės biudžeto lėšos, skirtos 2022 metais būstams pritaikyti neįgaliesiems</t>
  </si>
  <si>
    <t xml:space="preserve">      valstybės biudžeto lėšos, skirtos 2022 metais socialinės reabilitacijos paslaugų neįgaliesiems teikimo bendruomenėje projektams finansuoti ir administruoti</t>
  </si>
  <si>
    <t>03.6</t>
  </si>
  <si>
    <t>Kita dotaacija 2022 metais būstams pritaikyti neįgaliesiems</t>
  </si>
  <si>
    <t>03.7</t>
  </si>
  <si>
    <t>Kita dotacija 2022 metais socialinės reabilitacijos paslaugų neįgaliesiems teikimo bendruomenėje projektams finansuoti ir administruoti</t>
  </si>
  <si>
    <t xml:space="preserve">Kita dotacija užtikrinti 2022 metais Lietuvos Respublikos piniginės socialinės paramos nepasiturintiems gyventojams įstatymo įgyvendinimą dėl padidėjusių išlaidų būsto šildymo išlaidų kompensacijoms teikti </t>
  </si>
  <si>
    <t xml:space="preserve">          KĖDAINIŲ RAJONO SAVIVALDYBĖS 2022 METŲ BIUDŽETO PAJAMOS</t>
  </si>
  <si>
    <t>10.</t>
  </si>
  <si>
    <t xml:space="preserve">     savivaldybės institucijos valdomiems vietinės reikšmės keliams</t>
  </si>
  <si>
    <t>16.14</t>
  </si>
  <si>
    <t>16.15</t>
  </si>
  <si>
    <t xml:space="preserve">     valstybės biudžeto lėšos, skirtos socialinių paslaugų šakos kolektyvinėje sutartyje nustatytiems įsipareigojimams igyvendinti</t>
  </si>
  <si>
    <t xml:space="preserve">      kompensuoti savivaldybės patirtas išlaidas, esant valstybės lygio ekstremaliajai situacijai, siekiant šalinti COVID-19 ligos (koronaviruso infekcijos) padarinius</t>
  </si>
  <si>
    <t xml:space="preserve"> Kita dotacija kompensuoti savivaldybės patirtas išlaidas, esant valstybės lygio ekstremaliajai situacijai, siekiant šalinti COVID-19 ligos (koronaviruso infekcijos) padarinius</t>
  </si>
  <si>
    <t>03.8</t>
  </si>
  <si>
    <t>Kita dotacija socialinių paslaugų šakos kolektyvinėje sutartyje nustatytiems įsipareigojimams igyvendinti</t>
  </si>
  <si>
    <t>07.1</t>
  </si>
  <si>
    <t>Kita dotacija  savivaldybės institucijos valdomiems vietinės reikšmės keliams</t>
  </si>
  <si>
    <t>16.16</t>
  </si>
  <si>
    <t xml:space="preserve">     plėtoti visuomenės psichologinės gerovės ir psichikos sveikatos stiprinimo paslaugas gyventojams bendruomenėse</t>
  </si>
  <si>
    <t>16.17</t>
  </si>
  <si>
    <t xml:space="preserve">    lėšos, skirtos 2022 metais lietuvių kalbos mokyti  suaugusius asmenys, atvykusius į Lietuvos Respubliką iš Ukrainos dėl Rusijos federacijos karinių veiksmų Ukrainoje</t>
  </si>
  <si>
    <t>16.19</t>
  </si>
  <si>
    <t>16.18</t>
  </si>
  <si>
    <t xml:space="preserve">     valstybės biudžeto lėšos, skirtos išlaidoms, susijusioms su savivaldybės mokyklų mokytojų, dirbančių pagal ikimokyklinio, priešmokyklinio, bendrojo ugdymo programas, personalo optimizavimu ir atnaujinimu</t>
  </si>
  <si>
    <t>16.20</t>
  </si>
  <si>
    <t xml:space="preserve">       „Sosnovskio barščio naikinimui Kėdainių rajone“</t>
  </si>
  <si>
    <t xml:space="preserve">     valstybės biudžeto lėšos, skirtos savivaldybės bendrojo ugdymo mokyklų tinklo stiprinimo iniciatyvoms skatinti</t>
  </si>
  <si>
    <t>Kita dotacija ugdyti ir pavežėti į mokyklą ir atgal vaikus, atvykusius į Lietuvos Respubliką iš Ukrainos dėl Rusijos federacijos karinių veiksmų Ukrainoje</t>
  </si>
  <si>
    <t>01.06</t>
  </si>
  <si>
    <t>Kita dotacija 2022 metais lietuvių kalbos mokyti  suaugusius asmenys, atvykusius į Lietuvos Respubliką iš Ukrainos dėl Rusijos federacijos karinių veiksmų Ukrainoje</t>
  </si>
  <si>
    <t>Kita dotacija savivaldybės mokyklų mokytojų, dirbančių pagal ikimokyklinio, priešmokyklinio, bendrojo ugdymo programas, personalo optimizavimui ir atnaujinimui</t>
  </si>
  <si>
    <t>01.07</t>
  </si>
  <si>
    <t>01.08</t>
  </si>
  <si>
    <t>Kita dotacija savivaldybės bendrojo ugdymo mokyklų tinklo stiprinimo iniciatyvoms skatinti</t>
  </si>
  <si>
    <t>01.9</t>
  </si>
  <si>
    <t xml:space="preserve"> Kita dotacija plėtoti visuomenės psichologinės gerovės ir psichikos sveikatos stiprinimo paslaugas gyventojams bendruomenėse</t>
  </si>
  <si>
    <t>16.21</t>
  </si>
  <si>
    <t xml:space="preserve">     kompensuoti išlaidas už būsto suteikimą užsieniečiams, pasitraukusiems iš Ukrainos dėl Rusijos federacijos karinių veiksmų Ukrainoje</t>
  </si>
  <si>
    <t>03.9</t>
  </si>
  <si>
    <t>Kita dotacija už būsto suteikimą užsieniečiams, pasitraukusiems iš Ukrainos dėl Rusijos federacijos karinių veiksmų Ukrainoje, finansuoti</t>
  </si>
  <si>
    <t>16.22</t>
  </si>
  <si>
    <t>16.23</t>
  </si>
  <si>
    <t>16.24</t>
  </si>
  <si>
    <t xml:space="preserve">     bendruomeninei veiklai stiprinti, įgyvendinant bandomąjį modelį</t>
  </si>
  <si>
    <t>Kita dotacija nevyriausybinių organizacijų ir bendruomeninės veiklos stiprinimui</t>
  </si>
  <si>
    <t>10.09.01.01</t>
  </si>
  <si>
    <t>05.4</t>
  </si>
  <si>
    <t xml:space="preserve">Socialinėms paslaugoms:
Teikti šeimoms individualios priežiūros darbuotojų paslaugas </t>
  </si>
  <si>
    <t xml:space="preserve">     kompensuoti iki 2022 m. birželio 13 d. savivaldybės patirtas išlaidas užsieniečiams, pasitraukusiems iš Ukrainos dėl Rusijos federacijos karinių veiksmų Ukrainoje, priimti ir pagalbai jiems teikti įgyvendinant Lietuvos Respublikos piniginės socialinės paramos nepasiturintiems gyventojams įstatymą</t>
  </si>
  <si>
    <t xml:space="preserve">     kompensuoti savivaldybės patirtas išlaidas valdant nepaprastąją padėtį dėl užsieniečių, pasitraukusių iš Ukrainos dėl Rusijos federacijos karinių veiksmų Ukrainoje</t>
  </si>
  <si>
    <t xml:space="preserve"> Kita dotacija kompensuoti savivaldybės patirtas išlaidas valdant nepaprastąją padėtį dėl užsieniečių, pasitraukusių iš Ukrainos dėl Rusijos federacijos karinių veiksmų Ukrainoje</t>
  </si>
  <si>
    <t>Kita dotacija vienkartinėms išmokoms įsikurti gyvenamojoje vietoje savivaldybės teritorijoje ir (ar) mėnesinėms kompensacijoms vaiko ugdymo pagal ikimokyklinio ir priešmokyklinio ugdymo programą išlaidoms</t>
  </si>
  <si>
    <t>Kita dotacija kompensuoti iki 2022 m. birželio 13 d. savivaldybės patirtas išlaidas užsieniečiams, pasitraukusiems iš Ukrainos dėl Rusijos federacijos karinių veiksmų Ukrainoje, priimti ir pagalbai jiems teikti įgyvendinant Lietuvos Respublikos piniginės socialinės paramos nepasiturintiems gyventojams įstatymą</t>
  </si>
  <si>
    <t>Kita dotacija investicinių žemės sklypų, iki kurių ribos ir (ar) kurių ribose įrengiama ir (ar) sutvarkoma infrastruktūra, projektui "Kėdainių miesto viešosios infrastruktūros, svarbios verslui, atnaujinimas ir plėtra" įgyvendinti</t>
  </si>
  <si>
    <t>04.01.01.06</t>
  </si>
  <si>
    <t xml:space="preserve"> valstybės biudžeto lėšos, skirtos investicinių žemės sklypų, iki kurių ribos ir (ar) kurių ribose įrengiama ir (ar) sutvarkoma infrastruktūra, projektams</t>
  </si>
  <si>
    <t xml:space="preserve"> valstybės biudžeto lėšos, skirtos užtikrinti 2022 metais Lietuvos Respublikos piniginės socialinės paramos nepasiturintiems gyventojams įstatymo įgyvendinimą dėl valstybės remiamų pajamų dydžio padidinimo</t>
  </si>
  <si>
    <t>Kita dotacija užtikrinti 2022 metais Lietuvos Respublikos piniginės socialinės paramos nepasiturintiems gyventojams įstatymo įgyvendinimą dėl valstybės remiamų pajamų dydžio padidinimo</t>
  </si>
  <si>
    <t xml:space="preserve">10.06.01.01 10.07.01.01
</t>
  </si>
  <si>
    <t xml:space="preserve">     mokėti 20 proc. Bazinės socialinės išmokos (BSĮ) neįgaliesiems</t>
  </si>
  <si>
    <t>Kita dotaacija mokėti 20 proc. Bazinės socialinės išmokos (BSĮ) neįgaliesiems</t>
  </si>
  <si>
    <t>03.10</t>
  </si>
  <si>
    <t>03.11</t>
  </si>
  <si>
    <t>03.12</t>
  </si>
  <si>
    <t>03.13</t>
  </si>
  <si>
    <t>16.25</t>
  </si>
  <si>
    <t>16.26</t>
  </si>
  <si>
    <t>16.27</t>
  </si>
  <si>
    <t>16.28</t>
  </si>
  <si>
    <t>16.29</t>
  </si>
  <si>
    <t>16.30</t>
  </si>
  <si>
    <t xml:space="preserve">     lėšos, skirtos ugdyti ir pavėžėti į mokyklą ir atgal vaikus, atvykusius į Lietuvos Respubliką iš Ukrainos dėl Rusijos federacijos karinių veiksmų Ukrainoje</t>
  </si>
  <si>
    <t xml:space="preserve">     valstybės biudžeto lėšos, skirtos savivaldybės administracijai vienkartinėms išmokoms įsikurti gyvenamojoje vietoje savivaldybės teritorijoje ir (ar) mėnesinėms kompensacijoms vaiko ugdymo pagal ikimokyklinio ir priešmokyklinio ugdymo programą išlaidoms</t>
  </si>
  <si>
    <t xml:space="preserve">                                                                 2022 m. spalio 28 d. sprendimo Nr. TS-267</t>
  </si>
  <si>
    <t xml:space="preserve">                                                                                 2022 m. spalio 28 d. sprendimo Nr. TS-267</t>
  </si>
  <si>
    <t xml:space="preserve">                                                                  2022 m. spalio 28 d. sprendimo Nr. TS-267</t>
  </si>
  <si>
    <t xml:space="preserve">                                                          2022 m. spalio 28 d. sprendimo Nr. TS-267</t>
  </si>
</sst>
</file>

<file path=xl/styles.xml><?xml version="1.0" encoding="utf-8"?>
<styleSheet xmlns="http://purl.oclc.org/ooxml/spreadsheetml/main" xmlns:mc="http://schemas.openxmlformats.org/markup-compatibility/2006" xmlns:x14ac="http://schemas.microsoft.com/office/spreadsheetml/2009/9/ac" mc:Ignorable="x14ac">
  <numFmts count="8">
    <numFmt numFmtId="43" formatCode="_(* #,##0.00_);_(* \(#,##0.00\);_(* &quot;-&quot;??_);_(@_)"/>
    <numFmt numFmtId="171" formatCode="_-* #,##0.00_-;\-* #,##0.00_-;_-* &quot;-&quot;??_-;_-@_-"/>
    <numFmt numFmtId="173" formatCode="_-* #,##0.00\ _€_-;\-* #,##0.00\ _€_-;_-* &quot;-&quot;??\ _€_-;_-@_-"/>
    <numFmt numFmtId="181" formatCode="_-* #,##0.00\ _L_t_-;\-* #,##0.00\ _L_t_-;_-* &quot;-&quot;??\ _L_t_-;_-@_-"/>
    <numFmt numFmtId="182" formatCode="0.0"/>
    <numFmt numFmtId="183" formatCode="#,##0.0"/>
    <numFmt numFmtId="188" formatCode="0.0;\-0.0;;"/>
    <numFmt numFmtId="191" formatCode="#,##0.0_ ;\-#,##0.0\ "/>
  </numFmts>
  <fonts count="12" x14ac:knownFonts="1">
    <font>
      <sz val="10"/>
      <name val="Arial"/>
    </font>
    <font>
      <sz val="10"/>
      <name val="Times New Roman"/>
      <family val="1"/>
      <charset val="186"/>
    </font>
    <font>
      <b/>
      <sz val="10"/>
      <name val="Times New Roman"/>
      <family val="1"/>
      <charset val="186"/>
    </font>
    <font>
      <sz val="12"/>
      <name val="Times New Roman"/>
      <family val="1"/>
      <charset val="186"/>
    </font>
    <font>
      <sz val="9"/>
      <name val="Times New Roman"/>
      <family val="1"/>
      <charset val="186"/>
    </font>
    <font>
      <i/>
      <sz val="10"/>
      <name val="Times New Roman"/>
      <family val="1"/>
      <charset val="186"/>
    </font>
    <font>
      <sz val="10"/>
      <name val="Arial"/>
      <family val="2"/>
      <charset val="186"/>
    </font>
    <font>
      <b/>
      <sz val="9"/>
      <name val="Times New Roman"/>
      <family val="1"/>
      <charset val="186"/>
    </font>
    <font>
      <sz val="8"/>
      <name val="Times New Roman"/>
      <family val="1"/>
      <charset val="186"/>
    </font>
    <font>
      <sz val="11"/>
      <name val="Calibri"/>
      <family val="2"/>
      <charset val="186"/>
    </font>
    <font>
      <sz val="8"/>
      <name val="Arial"/>
    </font>
    <font>
      <sz val="11"/>
      <color theme="1"/>
      <name val="Calibri"/>
      <family val="2"/>
      <charset val="186"/>
      <scheme val="minor"/>
    </font>
  </fonts>
  <fills count="2">
    <fill>
      <patternFill patternType="none"/>
    </fill>
    <fill>
      <patternFill patternType="gray125"/>
    </fill>
  </fills>
  <borders count="7">
    <border>
      <start/>
      <end/>
      <top/>
      <bottom/>
      <diagonal/>
    </border>
    <border>
      <start style="thin">
        <color indexed="64"/>
      </start>
      <end style="thin">
        <color indexed="64"/>
      </end>
      <top style="thin">
        <color indexed="64"/>
      </top>
      <bottom style="thin">
        <color indexed="64"/>
      </bottom>
      <diagonal/>
    </border>
    <border>
      <start/>
      <end/>
      <top style="thin">
        <color indexed="64"/>
      </top>
      <bottom style="thin">
        <color indexed="64"/>
      </bottom>
      <diagonal/>
    </border>
    <border>
      <start style="thin">
        <color indexed="64"/>
      </start>
      <end style="thin">
        <color indexed="64"/>
      </end>
      <top style="thin">
        <color indexed="64"/>
      </top>
      <bottom/>
      <diagonal/>
    </border>
    <border>
      <start/>
      <end style="thin">
        <color indexed="64"/>
      </end>
      <top style="thin">
        <color indexed="64"/>
      </top>
      <bottom style="thin">
        <color indexed="64"/>
      </bottom>
      <diagonal/>
    </border>
    <border>
      <start style="thin">
        <color indexed="64"/>
      </start>
      <end/>
      <top/>
      <bottom/>
      <diagonal/>
    </border>
    <border>
      <start style="thin">
        <color indexed="64"/>
      </start>
      <end style="thin">
        <color indexed="64"/>
      </end>
      <top/>
      <bottom style="thin">
        <color indexed="64"/>
      </bottom>
      <diagonal/>
    </border>
  </borders>
  <cellStyleXfs count="21">
    <xf numFmtId="0" fontId="0" fillId="0" borderId="0"/>
    <xf numFmtId="0" fontId="6" fillId="0" borderId="0"/>
    <xf numFmtId="0" fontId="1" fillId="0" borderId="0"/>
    <xf numFmtId="0" fontId="6" fillId="0" borderId="0"/>
    <xf numFmtId="0" fontId="11" fillId="0" borderId="0"/>
    <xf numFmtId="181"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81" fontId="11" fillId="0" borderId="0" applyFont="0" applyFill="0" applyBorder="0" applyAlignment="0" applyProtection="0"/>
    <xf numFmtId="43" fontId="6" fillId="0" borderId="0" applyFont="0" applyFill="0" applyBorder="0" applyAlignment="0" applyProtection="0"/>
    <xf numFmtId="173"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0" fontId="6" fillId="0" borderId="0"/>
    <xf numFmtId="0" fontId="6" fillId="0" borderId="0"/>
    <xf numFmtId="0" fontId="1" fillId="0" borderId="0"/>
    <xf numFmtId="0" fontId="1" fillId="0" borderId="0"/>
    <xf numFmtId="0" fontId="1" fillId="0" borderId="0"/>
    <xf numFmtId="0" fontId="6" fillId="0" borderId="0"/>
  </cellStyleXfs>
  <cellXfs count="154">
    <xf numFmtId="0" fontId="0" fillId="0" borderId="0" xfId="0"/>
    <xf numFmtId="49" fontId="1" fillId="0" borderId="1" xfId="0" applyNumberFormat="1" applyFont="1" applyFill="1" applyBorder="1" applyAlignment="1">
      <alignment horizontal="center" vertical="center"/>
    </xf>
    <xf numFmtId="0" fontId="1" fillId="0" borderId="0" xfId="0" applyFont="1" applyFill="1"/>
    <xf numFmtId="0" fontId="1" fillId="0" borderId="0" xfId="0" applyFont="1" applyFill="1" applyAlignment="1">
      <alignment vertical="center"/>
    </xf>
    <xf numFmtId="182" fontId="1" fillId="0" borderId="0" xfId="0" applyNumberFormat="1" applyFont="1" applyFill="1"/>
    <xf numFmtId="0" fontId="1" fillId="0" borderId="0" xfId="0" applyFont="1" applyFill="1" applyAlignment="1">
      <alignment horizontal="right" vertical="center"/>
    </xf>
    <xf numFmtId="0" fontId="1" fillId="0" borderId="0" xfId="0" applyFont="1" applyFill="1" applyAlignment="1">
      <alignment horizontal="center" vertical="center"/>
    </xf>
    <xf numFmtId="49" fontId="1" fillId="0" borderId="0" xfId="0" applyNumberFormat="1" applyFont="1" applyFill="1" applyAlignment="1">
      <alignment horizontal="center" vertical="center"/>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49" fontId="2" fillId="0" borderId="1" xfId="0" applyNumberFormat="1" applyFont="1" applyFill="1" applyBorder="1" applyAlignment="1">
      <alignment horizontal="center" vertical="center"/>
    </xf>
    <xf numFmtId="0" fontId="1" fillId="0" borderId="1" xfId="0" applyFont="1" applyFill="1" applyBorder="1" applyAlignment="1">
      <alignment horizontal="right" vertical="center"/>
    </xf>
    <xf numFmtId="0" fontId="2" fillId="0" borderId="1" xfId="0" applyFont="1" applyFill="1" applyBorder="1" applyAlignment="1">
      <alignment horizontal="left" vertical="center" wrapText="1"/>
    </xf>
    <xf numFmtId="49" fontId="1" fillId="0" borderId="1" xfId="0" applyNumberFormat="1" applyFont="1" applyFill="1" applyBorder="1" applyAlignment="1">
      <alignment horizontal="center" vertical="center" wrapText="1"/>
    </xf>
    <xf numFmtId="182" fontId="1" fillId="0" borderId="1" xfId="0" applyNumberFormat="1" applyFont="1" applyFill="1" applyBorder="1" applyAlignment="1">
      <alignment vertical="center" wrapText="1"/>
    </xf>
    <xf numFmtId="182" fontId="1" fillId="0" borderId="1" xfId="0" applyNumberFormat="1" applyFont="1" applyFill="1" applyBorder="1" applyAlignment="1">
      <alignment horizontal="left" vertical="center" wrapText="1"/>
    </xf>
    <xf numFmtId="49" fontId="2" fillId="0" borderId="1" xfId="0" applyNumberFormat="1" applyFont="1" applyFill="1" applyBorder="1" applyAlignment="1">
      <alignment horizontal="left" vertical="center" wrapText="1"/>
    </xf>
    <xf numFmtId="0" fontId="1" fillId="0" borderId="1" xfId="0" applyFont="1" applyFill="1" applyBorder="1" applyAlignment="1">
      <alignment horizontal="center" vertical="center"/>
    </xf>
    <xf numFmtId="183" fontId="1" fillId="0" borderId="1" xfId="0" applyNumberFormat="1" applyFont="1" applyFill="1" applyBorder="1" applyAlignment="1">
      <alignment horizontal="right" vertical="center"/>
    </xf>
    <xf numFmtId="182" fontId="1" fillId="0" borderId="0" xfId="0" applyNumberFormat="1" applyFont="1" applyFill="1" applyAlignment="1">
      <alignment horizontal="right" vertical="center"/>
    </xf>
    <xf numFmtId="182" fontId="1" fillId="0" borderId="2" xfId="0" applyNumberFormat="1" applyFont="1" applyFill="1" applyBorder="1" applyAlignment="1">
      <alignment vertical="center"/>
    </xf>
    <xf numFmtId="182" fontId="1" fillId="0" borderId="2" xfId="0" applyNumberFormat="1" applyFont="1" applyFill="1" applyBorder="1" applyAlignment="1">
      <alignment vertical="center" wrapText="1"/>
    </xf>
    <xf numFmtId="0" fontId="1" fillId="0" borderId="1" xfId="0" applyFont="1" applyFill="1" applyBorder="1" applyAlignment="1">
      <alignment horizontal="center" vertical="center" wrapText="1"/>
    </xf>
    <xf numFmtId="182" fontId="1" fillId="0" borderId="1" xfId="0" applyNumberFormat="1" applyFont="1" applyFill="1" applyBorder="1" applyAlignment="1">
      <alignment vertical="center"/>
    </xf>
    <xf numFmtId="0" fontId="1" fillId="0" borderId="0" xfId="0" applyFont="1" applyFill="1" applyAlignment="1">
      <alignment horizontal="right"/>
    </xf>
    <xf numFmtId="0" fontId="3" fillId="0" borderId="0" xfId="0" applyFont="1" applyFill="1" applyAlignment="1">
      <alignment horizontal="right"/>
    </xf>
    <xf numFmtId="191"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right" vertical="center"/>
    </xf>
    <xf numFmtId="0" fontId="2" fillId="0" borderId="0" xfId="0" applyFont="1" applyFill="1" applyAlignment="1">
      <alignment horizontal="center" vertical="center" wrapText="1"/>
    </xf>
    <xf numFmtId="49" fontId="2" fillId="0" borderId="0" xfId="0" applyNumberFormat="1" applyFont="1" applyFill="1" applyAlignment="1">
      <alignment horizontal="center" vertical="center" wrapText="1"/>
    </xf>
    <xf numFmtId="0" fontId="1" fillId="0" borderId="0" xfId="0" applyFont="1" applyFill="1" applyAlignment="1">
      <alignment wrapText="1"/>
    </xf>
    <xf numFmtId="49" fontId="1" fillId="0" borderId="3" xfId="0" applyNumberFormat="1" applyFont="1" applyFill="1" applyBorder="1" applyAlignment="1">
      <alignment horizontal="center" vertical="center"/>
    </xf>
    <xf numFmtId="183" fontId="1" fillId="0" borderId="1" xfId="0" applyNumberFormat="1" applyFont="1" applyFill="1" applyBorder="1" applyAlignment="1">
      <alignment vertical="center"/>
    </xf>
    <xf numFmtId="183" fontId="5" fillId="0" borderId="1" xfId="0" applyNumberFormat="1" applyFont="1" applyFill="1" applyBorder="1" applyAlignment="1">
      <alignment horizontal="right" vertical="center"/>
    </xf>
    <xf numFmtId="182" fontId="1" fillId="0" borderId="1" xfId="0" applyNumberFormat="1" applyFont="1" applyFill="1" applyBorder="1" applyAlignment="1">
      <alignment horizontal="left" vertical="center"/>
    </xf>
    <xf numFmtId="182" fontId="1" fillId="0" borderId="0" xfId="0" applyNumberFormat="1" applyFont="1" applyFill="1" applyAlignment="1">
      <alignment horizontal="right"/>
    </xf>
    <xf numFmtId="0" fontId="3" fillId="0" borderId="0" xfId="0" applyFont="1" applyFill="1" applyAlignment="1">
      <alignment horizontal="right" vertical="center"/>
    </xf>
    <xf numFmtId="183" fontId="1" fillId="0" borderId="0" xfId="0" applyNumberFormat="1" applyFont="1" applyFill="1"/>
    <xf numFmtId="182" fontId="2" fillId="0" borderId="0" xfId="0" applyNumberFormat="1" applyFont="1" applyFill="1"/>
    <xf numFmtId="183" fontId="2" fillId="0" borderId="0" xfId="0" applyNumberFormat="1" applyFont="1" applyFill="1"/>
    <xf numFmtId="1" fontId="1" fillId="0" borderId="0" xfId="0" applyNumberFormat="1" applyFont="1" applyFill="1"/>
    <xf numFmtId="0" fontId="3" fillId="0" borderId="0" xfId="0" applyFont="1" applyFill="1"/>
    <xf numFmtId="183" fontId="1" fillId="0" borderId="1" xfId="0" applyNumberFormat="1" applyFont="1" applyFill="1" applyBorder="1" applyAlignment="1">
      <alignment horizontal="right" vertical="center" wrapText="1"/>
    </xf>
    <xf numFmtId="183" fontId="2" fillId="0" borderId="1" xfId="0" applyNumberFormat="1" applyFont="1" applyFill="1" applyBorder="1" applyAlignment="1">
      <alignment horizontal="center" vertical="center"/>
    </xf>
    <xf numFmtId="0" fontId="1" fillId="0" borderId="0" xfId="0" applyFont="1" applyFill="1" applyAlignment="1">
      <alignment horizontal="center"/>
    </xf>
    <xf numFmtId="183" fontId="2" fillId="0" borderId="1" xfId="0" applyNumberFormat="1" applyFont="1" applyFill="1" applyBorder="1" applyAlignment="1">
      <alignment horizontal="center" vertical="center" wrapText="1"/>
    </xf>
    <xf numFmtId="49" fontId="1" fillId="0" borderId="3" xfId="0" applyNumberFormat="1" applyFont="1" applyFill="1" applyBorder="1" applyAlignment="1">
      <alignment horizontal="center" vertical="center" wrapText="1"/>
    </xf>
    <xf numFmtId="182" fontId="1" fillId="0" borderId="0" xfId="0" applyNumberFormat="1" applyFont="1" applyFill="1" applyAlignment="1">
      <alignment vertical="center"/>
    </xf>
    <xf numFmtId="182" fontId="1" fillId="0" borderId="1" xfId="19" applyNumberFormat="1" applyFont="1" applyFill="1" applyBorder="1" applyAlignment="1">
      <alignment vertical="center"/>
    </xf>
    <xf numFmtId="49" fontId="2" fillId="0" borderId="4" xfId="0" applyNumberFormat="1" applyFont="1" applyFill="1" applyBorder="1" applyAlignment="1">
      <alignment horizontal="right" vertical="center"/>
    </xf>
    <xf numFmtId="183" fontId="1" fillId="0" borderId="0" xfId="0" applyNumberFormat="1" applyFont="1" applyFill="1" applyAlignment="1">
      <alignment horizontal="right" vertical="center"/>
    </xf>
    <xf numFmtId="49" fontId="1" fillId="0" borderId="1" xfId="0" applyNumberFormat="1" applyFont="1" applyFill="1" applyBorder="1" applyAlignment="1">
      <alignment horizontal="left" vertical="center" wrapText="1"/>
    </xf>
    <xf numFmtId="49" fontId="1" fillId="0" borderId="0" xfId="0" applyNumberFormat="1" applyFont="1" applyFill="1" applyAlignment="1">
      <alignment horizontal="right" vertical="center"/>
    </xf>
    <xf numFmtId="182" fontId="1" fillId="0" borderId="0" xfId="0" applyNumberFormat="1" applyFont="1" applyFill="1" applyAlignment="1">
      <alignment horizontal="center"/>
    </xf>
    <xf numFmtId="49" fontId="1" fillId="0" borderId="0" xfId="0" applyNumberFormat="1" applyFont="1" applyFill="1" applyAlignment="1">
      <alignment vertical="center"/>
    </xf>
    <xf numFmtId="0" fontId="7" fillId="0" borderId="0" xfId="0" applyFont="1" applyFill="1" applyAlignment="1">
      <alignment horizontal="center" vertical="center" wrapText="1"/>
    </xf>
    <xf numFmtId="0" fontId="4" fillId="0" borderId="0" xfId="0" applyFont="1" applyFill="1" applyAlignment="1">
      <alignment vertical="center"/>
    </xf>
    <xf numFmtId="49" fontId="4" fillId="0" borderId="0" xfId="0" applyNumberFormat="1" applyFont="1" applyFill="1" applyAlignment="1">
      <alignment horizontal="center" vertical="center"/>
    </xf>
    <xf numFmtId="49" fontId="4" fillId="0" borderId="0" xfId="0" applyNumberFormat="1" applyFont="1" applyFill="1" applyAlignment="1">
      <alignment vertical="center"/>
    </xf>
    <xf numFmtId="0" fontId="4" fillId="0" borderId="0" xfId="0" applyFont="1" applyFill="1" applyAlignment="1">
      <alignment horizontal="center" vertical="center"/>
    </xf>
    <xf numFmtId="0" fontId="4" fillId="0" borderId="0" xfId="0" applyFont="1" applyFill="1" applyAlignment="1">
      <alignment horizontal="right" vertical="center"/>
    </xf>
    <xf numFmtId="49" fontId="5" fillId="0" borderId="1" xfId="0" applyNumberFormat="1" applyFont="1" applyFill="1" applyBorder="1" applyAlignment="1">
      <alignment horizontal="left" vertical="center" wrapText="1"/>
    </xf>
    <xf numFmtId="183" fontId="5" fillId="0" borderId="1" xfId="0" applyNumberFormat="1" applyFont="1" applyFill="1" applyBorder="1" applyAlignment="1">
      <alignment horizontal="center" vertical="center" wrapText="1"/>
    </xf>
    <xf numFmtId="49" fontId="1" fillId="0" borderId="3" xfId="0" applyNumberFormat="1" applyFont="1" applyFill="1" applyBorder="1" applyAlignment="1">
      <alignment horizontal="right" vertical="center"/>
    </xf>
    <xf numFmtId="17" fontId="8" fillId="0" borderId="1" xfId="0" applyNumberFormat="1" applyFont="1" applyFill="1" applyBorder="1" applyAlignment="1">
      <alignment horizontal="right" vertical="center"/>
    </xf>
    <xf numFmtId="49" fontId="5" fillId="0" borderId="1" xfId="0" applyNumberFormat="1" applyFont="1" applyFill="1" applyBorder="1" applyAlignment="1">
      <alignment horizontal="center" vertical="center"/>
    </xf>
    <xf numFmtId="49" fontId="5" fillId="0" borderId="3" xfId="0" applyNumberFormat="1" applyFont="1" applyFill="1" applyBorder="1" applyAlignment="1">
      <alignment horizontal="center" vertical="center"/>
    </xf>
    <xf numFmtId="49" fontId="2" fillId="0" borderId="0" xfId="0" applyNumberFormat="1" applyFont="1" applyFill="1" applyAlignment="1">
      <alignment horizontal="center" vertical="center"/>
    </xf>
    <xf numFmtId="49" fontId="2" fillId="0" borderId="0" xfId="0" applyNumberFormat="1" applyFont="1" applyFill="1" applyAlignment="1">
      <alignment horizontal="right" vertical="center"/>
    </xf>
    <xf numFmtId="183" fontId="2" fillId="0" borderId="0" xfId="0" applyNumberFormat="1" applyFont="1" applyFill="1" applyAlignment="1">
      <alignment horizontal="center" vertical="center"/>
    </xf>
    <xf numFmtId="49" fontId="1" fillId="0" borderId="0" xfId="0" applyNumberFormat="1" applyFont="1" applyFill="1" applyAlignment="1">
      <alignment vertical="center" wrapText="1"/>
    </xf>
    <xf numFmtId="18" fontId="1" fillId="0" borderId="0" xfId="0" applyNumberFormat="1" applyFont="1" applyFill="1"/>
    <xf numFmtId="182" fontId="1" fillId="0" borderId="0" xfId="0" applyNumberFormat="1" applyFont="1" applyFill="1" applyAlignment="1">
      <alignment vertical="center" wrapText="1"/>
    </xf>
    <xf numFmtId="0" fontId="1" fillId="0" borderId="1" xfId="1" applyFont="1" applyFill="1" applyBorder="1" applyAlignment="1">
      <alignment vertical="center" wrapText="1"/>
    </xf>
    <xf numFmtId="0" fontId="1" fillId="0" borderId="0" xfId="1" applyFont="1" applyFill="1" applyAlignment="1">
      <alignment vertical="center"/>
    </xf>
    <xf numFmtId="0" fontId="3" fillId="0" borderId="0" xfId="1" applyFont="1" applyFill="1" applyAlignment="1">
      <alignment horizontal="right"/>
    </xf>
    <xf numFmtId="0" fontId="3" fillId="0" borderId="0" xfId="1" applyFont="1" applyFill="1" applyAlignment="1">
      <alignment horizontal="right" vertical="center"/>
    </xf>
    <xf numFmtId="0" fontId="2" fillId="0" borderId="0" xfId="1" applyFont="1" applyFill="1" applyAlignment="1">
      <alignment vertical="center"/>
    </xf>
    <xf numFmtId="0" fontId="1" fillId="0" borderId="0" xfId="1" applyFont="1" applyFill="1"/>
    <xf numFmtId="0" fontId="2" fillId="0" borderId="1" xfId="1" applyFont="1" applyFill="1" applyBorder="1" applyAlignment="1">
      <alignment vertical="center"/>
    </xf>
    <xf numFmtId="0" fontId="2" fillId="0" borderId="1" xfId="1" applyFont="1" applyFill="1" applyBorder="1" applyAlignment="1">
      <alignment horizontal="center" vertical="center"/>
    </xf>
    <xf numFmtId="0" fontId="1" fillId="0" borderId="1" xfId="1" applyFont="1" applyFill="1" applyBorder="1" applyAlignment="1">
      <alignment horizontal="right" vertical="center"/>
    </xf>
    <xf numFmtId="183" fontId="2" fillId="0" borderId="1" xfId="0" applyNumberFormat="1" applyFont="1" applyFill="1" applyBorder="1"/>
    <xf numFmtId="183" fontId="2" fillId="0" borderId="1" xfId="0" applyNumberFormat="1" applyFont="1" applyFill="1" applyBorder="1" applyAlignment="1">
      <alignment vertical="center"/>
    </xf>
    <xf numFmtId="0" fontId="2" fillId="0" borderId="1" xfId="1" applyFont="1" applyFill="1" applyBorder="1" applyAlignment="1">
      <alignment vertical="center" wrapText="1"/>
    </xf>
    <xf numFmtId="0" fontId="1" fillId="0" borderId="1" xfId="1" applyFont="1" applyFill="1" applyBorder="1" applyAlignment="1">
      <alignment vertical="center"/>
    </xf>
    <xf numFmtId="16" fontId="1" fillId="0" borderId="1" xfId="1" applyNumberFormat="1" applyFont="1" applyFill="1" applyBorder="1" applyAlignment="1">
      <alignment horizontal="right" vertical="center"/>
    </xf>
    <xf numFmtId="0" fontId="1" fillId="0" borderId="1" xfId="1" applyFont="1" applyFill="1" applyBorder="1" applyAlignment="1">
      <alignment horizontal="left" vertical="center" wrapText="1"/>
    </xf>
    <xf numFmtId="183" fontId="1" fillId="0" borderId="1" xfId="0" applyNumberFormat="1" applyFont="1" applyFill="1" applyBorder="1"/>
    <xf numFmtId="49" fontId="1" fillId="0" borderId="1" xfId="1" applyNumberFormat="1" applyFont="1" applyFill="1" applyBorder="1" applyAlignment="1">
      <alignment horizontal="right" vertical="center"/>
    </xf>
    <xf numFmtId="183" fontId="1" fillId="0" borderId="3" xfId="0" applyNumberFormat="1" applyFont="1" applyFill="1" applyBorder="1" applyAlignment="1">
      <alignment vertical="center"/>
    </xf>
    <xf numFmtId="0" fontId="1" fillId="0" borderId="0" xfId="1" applyFont="1" applyFill="1" applyAlignment="1">
      <alignment vertical="center" wrapText="1"/>
    </xf>
    <xf numFmtId="183" fontId="2" fillId="0" borderId="3" xfId="0" applyNumberFormat="1" applyFont="1" applyFill="1" applyBorder="1" applyAlignment="1">
      <alignment vertical="center"/>
    </xf>
    <xf numFmtId="0" fontId="1" fillId="0" borderId="1" xfId="0" applyFont="1" applyFill="1" applyBorder="1" applyAlignment="1">
      <alignment horizontal="justify" vertical="center" wrapText="1"/>
    </xf>
    <xf numFmtId="0" fontId="1" fillId="0" borderId="1" xfId="1" applyFont="1" applyFill="1" applyBorder="1" applyAlignment="1">
      <alignment horizontal="justify" vertical="center" wrapText="1"/>
    </xf>
    <xf numFmtId="0" fontId="2" fillId="0" borderId="1" xfId="1" applyFont="1" applyFill="1" applyBorder="1" applyAlignment="1">
      <alignment horizontal="right" vertical="center"/>
    </xf>
    <xf numFmtId="182" fontId="5" fillId="0" borderId="0" xfId="0" applyNumberFormat="1" applyFont="1" applyFill="1"/>
    <xf numFmtId="183" fontId="2" fillId="0" borderId="0" xfId="0" applyNumberFormat="1" applyFont="1" applyFill="1" applyAlignment="1">
      <alignment vertical="center"/>
    </xf>
    <xf numFmtId="182" fontId="5" fillId="0" borderId="0" xfId="0" applyNumberFormat="1" applyFont="1" applyFill="1" applyAlignment="1">
      <alignment horizontal="right" wrapText="1"/>
    </xf>
    <xf numFmtId="182" fontId="1" fillId="0" borderId="5" xfId="0" applyNumberFormat="1" applyFont="1" applyFill="1" applyBorder="1" applyAlignment="1">
      <alignment vertical="center" wrapText="1"/>
    </xf>
    <xf numFmtId="183" fontId="2" fillId="0" borderId="1" xfId="1" applyNumberFormat="1" applyFont="1" applyFill="1" applyBorder="1" applyAlignment="1">
      <alignment vertical="center"/>
    </xf>
    <xf numFmtId="0" fontId="1" fillId="0" borderId="0" xfId="1" applyFont="1" applyFill="1" applyAlignment="1">
      <alignment horizontal="right"/>
    </xf>
    <xf numFmtId="183" fontId="2" fillId="0" borderId="0" xfId="1" applyNumberFormat="1" applyFont="1" applyFill="1"/>
    <xf numFmtId="18" fontId="3" fillId="0" borderId="0" xfId="0" applyNumberFormat="1" applyFont="1" applyFill="1"/>
    <xf numFmtId="0" fontId="2" fillId="0" borderId="0" xfId="0" applyFont="1" applyFill="1" applyAlignment="1">
      <alignment horizontal="right"/>
    </xf>
    <xf numFmtId="183" fontId="2" fillId="0" borderId="1" xfId="0" applyNumberFormat="1" applyFont="1" applyFill="1" applyBorder="1" applyAlignment="1">
      <alignment horizontal="right" vertical="center"/>
    </xf>
    <xf numFmtId="0" fontId="1" fillId="0" borderId="1" xfId="0" applyFont="1" applyFill="1" applyBorder="1" applyAlignment="1">
      <alignment vertical="center" wrapText="1"/>
    </xf>
    <xf numFmtId="0" fontId="1" fillId="0" borderId="1" xfId="0" applyFont="1" applyFill="1" applyBorder="1" applyAlignment="1">
      <alignment horizontal="left" vertical="center" wrapText="1"/>
    </xf>
    <xf numFmtId="0" fontId="1" fillId="0" borderId="3" xfId="0" applyFont="1" applyFill="1" applyBorder="1" applyAlignment="1">
      <alignment horizontal="center" vertical="center"/>
    </xf>
    <xf numFmtId="182" fontId="5" fillId="0" borderId="1" xfId="0" applyNumberFormat="1" applyFont="1" applyFill="1" applyBorder="1" applyAlignment="1">
      <alignment vertical="center" wrapText="1"/>
    </xf>
    <xf numFmtId="0" fontId="5" fillId="0" borderId="1" xfId="0" applyFont="1" applyFill="1" applyBorder="1" applyAlignment="1">
      <alignment horizontal="left" vertical="center" wrapText="1"/>
    </xf>
    <xf numFmtId="182" fontId="2" fillId="0" borderId="1" xfId="0" applyNumberFormat="1" applyFont="1" applyFill="1" applyBorder="1" applyAlignment="1">
      <alignment vertical="center" wrapText="1"/>
    </xf>
    <xf numFmtId="49" fontId="2" fillId="0" borderId="3" xfId="0" applyNumberFormat="1" applyFont="1" applyFill="1" applyBorder="1" applyAlignment="1">
      <alignment horizontal="center" vertical="center"/>
    </xf>
    <xf numFmtId="0" fontId="1" fillId="0" borderId="0" xfId="0" applyFont="1" applyFill="1" applyAlignment="1">
      <alignment vertical="center" wrapText="1"/>
    </xf>
    <xf numFmtId="182" fontId="1" fillId="0" borderId="1" xfId="19" applyNumberFormat="1" applyFont="1" applyFill="1" applyBorder="1" applyAlignment="1">
      <alignment vertical="center" wrapText="1"/>
    </xf>
    <xf numFmtId="49" fontId="1" fillId="0" borderId="1" xfId="19" applyNumberFormat="1" applyFont="1" applyFill="1" applyBorder="1" applyAlignment="1">
      <alignment horizontal="center" vertical="center"/>
    </xf>
    <xf numFmtId="182" fontId="1" fillId="0" borderId="0" xfId="0" applyNumberFormat="1" applyFont="1" applyFill="1" applyAlignment="1">
      <alignment horizontal="left"/>
    </xf>
    <xf numFmtId="183" fontId="5" fillId="0" borderId="1" xfId="0" applyNumberFormat="1" applyFont="1" applyFill="1" applyBorder="1" applyAlignment="1">
      <alignment horizontal="right" vertical="center" wrapText="1"/>
    </xf>
    <xf numFmtId="182" fontId="9" fillId="0" borderId="0" xfId="0" applyNumberFormat="1" applyFont="1" applyFill="1"/>
    <xf numFmtId="0" fontId="5" fillId="0" borderId="1" xfId="0" applyFont="1" applyFill="1" applyBorder="1" applyAlignment="1">
      <alignment vertical="center" wrapText="1"/>
    </xf>
    <xf numFmtId="49" fontId="2" fillId="0" borderId="1" xfId="0" applyNumberFormat="1" applyFont="1" applyFill="1" applyBorder="1" applyAlignment="1">
      <alignment horizontal="right" vertical="center" wrapText="1"/>
    </xf>
    <xf numFmtId="182" fontId="1" fillId="0" borderId="1" xfId="18" applyNumberFormat="1" applyFont="1" applyFill="1" applyBorder="1" applyAlignment="1">
      <alignment vertical="center" wrapText="1"/>
    </xf>
    <xf numFmtId="182" fontId="5" fillId="0" borderId="1" xfId="0" applyNumberFormat="1" applyFont="1" applyFill="1" applyBorder="1" applyAlignment="1">
      <alignment horizontal="left" vertical="center" wrapText="1"/>
    </xf>
    <xf numFmtId="49" fontId="1" fillId="0" borderId="1" xfId="0" applyNumberFormat="1" applyFont="1" applyFill="1" applyBorder="1" applyAlignment="1">
      <alignment horizontal="center" vertical="top" wrapText="1"/>
    </xf>
    <xf numFmtId="49" fontId="5" fillId="0" borderId="1" xfId="0" applyNumberFormat="1" applyFont="1" applyFill="1" applyBorder="1" applyAlignment="1">
      <alignment horizontal="center" vertical="center" wrapText="1"/>
    </xf>
    <xf numFmtId="188" fontId="2" fillId="0" borderId="1" xfId="0" applyNumberFormat="1" applyFont="1" applyFill="1" applyBorder="1" applyAlignment="1">
      <alignment horizontal="center" vertical="center"/>
    </xf>
    <xf numFmtId="0" fontId="1" fillId="0" borderId="1" xfId="0" applyFont="1" applyFill="1" applyBorder="1"/>
    <xf numFmtId="0" fontId="5" fillId="0" borderId="1" xfId="0" applyFont="1" applyFill="1" applyBorder="1" applyAlignment="1">
      <alignment horizontal="center" vertical="center"/>
    </xf>
    <xf numFmtId="49" fontId="5" fillId="0" borderId="0" xfId="0" applyNumberFormat="1" applyFont="1" applyFill="1" applyAlignment="1">
      <alignment horizontal="left" vertical="center" wrapText="1"/>
    </xf>
    <xf numFmtId="182" fontId="5" fillId="0" borderId="0" xfId="0" applyNumberFormat="1" applyFont="1" applyFill="1" applyAlignment="1">
      <alignment horizontal="left" vertical="center" wrapText="1"/>
    </xf>
    <xf numFmtId="182" fontId="5" fillId="0" borderId="0" xfId="0" applyNumberFormat="1" applyFont="1" applyFill="1" applyAlignment="1">
      <alignment vertical="center" wrapText="1"/>
    </xf>
    <xf numFmtId="0" fontId="3" fillId="0" borderId="0" xfId="0" applyFont="1" applyFill="1" applyAlignment="1">
      <alignment horizontal="center"/>
    </xf>
    <xf numFmtId="0" fontId="2" fillId="0" borderId="0" xfId="0" applyFont="1" applyFill="1" applyBorder="1" applyAlignment="1">
      <alignment horizontal="center" vertical="center" wrapText="1"/>
    </xf>
    <xf numFmtId="183" fontId="2" fillId="0" borderId="0" xfId="0" applyNumberFormat="1" applyFont="1" applyFill="1" applyBorder="1" applyAlignment="1">
      <alignment horizontal="center" vertical="center" wrapText="1"/>
    </xf>
    <xf numFmtId="183" fontId="5" fillId="0" borderId="0" xfId="0" applyNumberFormat="1" applyFont="1" applyFill="1" applyBorder="1" applyAlignment="1">
      <alignment horizontal="center" vertical="center" wrapText="1"/>
    </xf>
    <xf numFmtId="183" fontId="1" fillId="0" borderId="0" xfId="0" applyNumberFormat="1" applyFont="1" applyFill="1" applyBorder="1" applyAlignment="1">
      <alignment horizontal="right" vertical="center"/>
    </xf>
    <xf numFmtId="183" fontId="5" fillId="0" borderId="0" xfId="0" applyNumberFormat="1" applyFont="1" applyFill="1" applyBorder="1" applyAlignment="1">
      <alignment horizontal="right" vertical="center"/>
    </xf>
    <xf numFmtId="191" fontId="2" fillId="0" borderId="0" xfId="0" applyNumberFormat="1" applyFont="1" applyFill="1" applyBorder="1" applyAlignment="1">
      <alignment horizontal="center" vertical="center"/>
    </xf>
    <xf numFmtId="183" fontId="2" fillId="0" borderId="0" xfId="0" applyNumberFormat="1" applyFont="1" applyFill="1" applyBorder="1" applyAlignment="1">
      <alignment horizontal="center" vertical="center"/>
    </xf>
    <xf numFmtId="182" fontId="1" fillId="0" borderId="0" xfId="0" applyNumberFormat="1" applyFont="1" applyFill="1" applyBorder="1"/>
    <xf numFmtId="183" fontId="1" fillId="0" borderId="0" xfId="0" applyNumberFormat="1" applyFont="1" applyFill="1" applyAlignment="1">
      <alignment horizontal="center" vertical="center"/>
    </xf>
    <xf numFmtId="0" fontId="3" fillId="0" borderId="0" xfId="1" applyFont="1" applyFill="1"/>
    <xf numFmtId="0" fontId="3" fillId="0" borderId="0" xfId="1" applyFont="1" applyFill="1" applyAlignment="1">
      <alignment horizontal="left"/>
    </xf>
    <xf numFmtId="0" fontId="3" fillId="0" borderId="0" xfId="1" applyFont="1" applyFill="1" applyAlignment="1">
      <alignment horizontal="right"/>
    </xf>
    <xf numFmtId="0" fontId="1" fillId="0" borderId="3" xfId="0" applyFont="1" applyFill="1" applyBorder="1" applyAlignment="1">
      <alignment horizontal="right" vertical="center"/>
    </xf>
    <xf numFmtId="0" fontId="1" fillId="0" borderId="6" xfId="0" applyFont="1" applyFill="1" applyBorder="1" applyAlignment="1">
      <alignment horizontal="right" vertical="center"/>
    </xf>
    <xf numFmtId="49" fontId="1" fillId="0" borderId="3" xfId="0" applyNumberFormat="1" applyFont="1" applyFill="1" applyBorder="1" applyAlignment="1">
      <alignment horizontal="center" vertical="center"/>
    </xf>
    <xf numFmtId="49" fontId="1" fillId="0" borderId="6" xfId="0" applyNumberFormat="1" applyFont="1" applyFill="1" applyBorder="1" applyAlignment="1">
      <alignment horizontal="center" vertical="center"/>
    </xf>
    <xf numFmtId="0" fontId="3" fillId="0" borderId="0" xfId="0" applyFont="1" applyFill="1" applyAlignment="1">
      <alignment horizontal="center"/>
    </xf>
    <xf numFmtId="0" fontId="3" fillId="0" borderId="0" xfId="0" applyFont="1" applyFill="1" applyAlignment="1">
      <alignment horizontal="right" vertical="center"/>
    </xf>
    <xf numFmtId="49" fontId="2" fillId="0" borderId="0" xfId="0" applyNumberFormat="1" applyFont="1" applyFill="1" applyAlignment="1">
      <alignment horizontal="center" vertical="center" wrapText="1"/>
    </xf>
    <xf numFmtId="0" fontId="7" fillId="0" borderId="0" xfId="0" applyFont="1" applyFill="1" applyAlignment="1">
      <alignment horizontal="center" vertical="center" wrapText="1"/>
    </xf>
    <xf numFmtId="0" fontId="2" fillId="0" borderId="0" xfId="0" applyFont="1" applyFill="1" applyAlignment="1">
      <alignment horizontal="center" vertical="center" wrapText="1"/>
    </xf>
  </cellXfs>
  <cellStyles count="21">
    <cellStyle name="Įprastas" xfId="0" builtinId="0"/>
    <cellStyle name="Įprastas 2" xfId="1"/>
    <cellStyle name="Įprastas 3" xfId="2"/>
    <cellStyle name="Įprastas 4" xfId="3"/>
    <cellStyle name="Įprastas 5" xfId="4"/>
    <cellStyle name="Kablelis 2" xfId="5"/>
    <cellStyle name="Kablelis 2 2" xfId="6"/>
    <cellStyle name="Kablelis 2 2 2" xfId="7"/>
    <cellStyle name="Kablelis 3" xfId="8"/>
    <cellStyle name="Kablelis 4" xfId="9"/>
    <cellStyle name="Kablelis 4 2" xfId="10"/>
    <cellStyle name="Kablelis 4 3" xfId="11"/>
    <cellStyle name="Kablelis 4 3 2" xfId="12"/>
    <cellStyle name="Kablelis 5" xfId="13"/>
    <cellStyle name="Kablelis 5 2" xfId="14"/>
    <cellStyle name="Normal 2" xfId="15"/>
    <cellStyle name="Normal 3" xfId="16"/>
    <cellStyle name="Normal_biudžetas 6" xfId="17"/>
    <cellStyle name="Normal_Sheet1" xfId="18"/>
    <cellStyle name="Normal_Sheet1_2009 m 02 men biudzetas." xfId="19"/>
    <cellStyle name="Paprastas 2" xfId="2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calcChain" Target="calcChain.xml"/><Relationship Id="rId3" Type="http://purl.oclc.org/ooxml/officeDocument/relationships/worksheet" Target="worksheets/sheet3.xml"/><Relationship Id="rId7" Type="http://purl.oclc.org/ooxml/officeDocument/relationships/sharedStrings" Target="sharedStrings.xml"/><Relationship Id="rId2" Type="http://purl.oclc.org/ooxml/officeDocument/relationships/worksheet" Target="worksheets/sheet2.xml"/><Relationship Id="rId1" Type="http://purl.oclc.org/ooxml/officeDocument/relationships/worksheet" Target="worksheets/sheet1.xml"/><Relationship Id="rId6" Type="http://purl.oclc.org/ooxml/officeDocument/relationships/styles" Target="styles.xml"/><Relationship Id="rId5" Type="http://purl.oclc.org/ooxml/officeDocument/relationships/theme" Target="theme/theme1.xml"/><Relationship Id="rId4" Type="http://purl.oclc.org/ooxml/officeDocument/relationships/worksheet" Target="worksheets/sheet4.xml"/></Relationships>
</file>

<file path=xl/theme/theme1.xml><?xml version="1.0" encoding="utf-8"?>
<a:theme xmlns:a="http://purl.oclc.org/ooxml/drawingml/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
                <a:satMod val="300%"/>
              </a:schemeClr>
            </a:gs>
            <a:gs pos="35%">
              <a:schemeClr val="phClr">
                <a:tint val="37%"/>
                <a:satMod val="300%"/>
              </a:schemeClr>
            </a:gs>
            <a:gs pos="100%">
              <a:schemeClr val="phClr">
                <a:tint val="15%"/>
                <a:satMod val="350%"/>
              </a:schemeClr>
            </a:gs>
          </a:gsLst>
          <a:lin ang="16200000" scaled="1"/>
        </a:gradFill>
        <a:gradFill rotWithShape="1">
          <a:gsLst>
            <a:gs pos="0%">
              <a:schemeClr val="phClr">
                <a:shade val="51%"/>
                <a:satMod val="130%"/>
              </a:schemeClr>
            </a:gs>
            <a:gs pos="80%">
              <a:schemeClr val="phClr">
                <a:shade val="93%"/>
                <a:satMod val="130%"/>
              </a:schemeClr>
            </a:gs>
            <a:gs pos="100%">
              <a:schemeClr val="phClr">
                <a:shade val="94%"/>
                <a:satMod val="135%"/>
              </a:schemeClr>
            </a:gs>
          </a:gsLst>
          <a:lin ang="16200000" scaled="0"/>
        </a:gradFill>
      </a:fillStyleLst>
      <a:lnStyleLst>
        <a:ln w="9525" cap="flat" cmpd="sng" algn="ctr">
          <a:solidFill>
            <a:schemeClr val="phClr">
              <a:shade val="95%"/>
              <a:satMod val="105%"/>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
              </a:srgbClr>
            </a:outerShdw>
          </a:effectLst>
        </a:effectStyle>
        <a:effectStyle>
          <a:effectLst>
            <a:outerShdw blurRad="40000" dist="23000" dir="5400000" rotWithShape="0">
              <a:srgbClr val="000000">
                <a:alpha val="35%"/>
              </a:srgbClr>
            </a:outerShdw>
          </a:effectLst>
        </a:effectStyle>
        <a:effectStyle>
          <a:effectLst>
            <a:outerShdw blurRad="40000" dist="23000" dir="5400000" rotWithShape="0">
              <a:srgbClr val="000000">
                <a:alpha val="35%"/>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
                <a:satMod val="350%"/>
              </a:schemeClr>
            </a:gs>
            <a:gs pos="40%">
              <a:schemeClr val="phClr">
                <a:tint val="45%"/>
                <a:shade val="99%"/>
                <a:satMod val="350%"/>
              </a:schemeClr>
            </a:gs>
            <a:gs pos="100%">
              <a:schemeClr val="phClr">
                <a:shade val="20%"/>
                <a:satMod val="255%"/>
              </a:schemeClr>
            </a:gs>
          </a:gsLst>
          <a:path path="circle">
            <a:fillToRect l="50%" t="-80%" r="50%" b="180%"/>
          </a:path>
        </a:gradFill>
        <a:gradFill rotWithShape="1">
          <a:gsLst>
            <a:gs pos="0%">
              <a:schemeClr val="phClr">
                <a:tint val="80%"/>
                <a:satMod val="300%"/>
              </a:schemeClr>
            </a:gs>
            <a:gs pos="100%">
              <a:schemeClr val="phClr">
                <a:shade val="30%"/>
                <a:satMod val="200%"/>
              </a:schemeClr>
            </a:gs>
          </a:gsLst>
          <a:path path="circle">
            <a:fillToRect l="50%" t="50%" r="50%" b="5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purl.oclc.org/ooxml/officeDocument/relationships/printerSettings" Target="../printerSettings/printerSettings1.bin"/></Relationships>
</file>

<file path=xl/worksheets/_rels/sheet2.xml.rels><?xml version="1.0" encoding="UTF-8" standalone="yes"?>
<Relationships xmlns="http://schemas.openxmlformats.org/package/2006/relationships"><Relationship Id="rId1" Type="http://purl.oclc.org/ooxml/officeDocument/relationships/printerSettings" Target="../printerSettings/printerSettings2.bin"/></Relationships>
</file>

<file path=xl/worksheets/_rels/sheet3.xml.rels><?xml version="1.0" encoding="UTF-8" standalone="yes"?>
<Relationships xmlns="http://schemas.openxmlformats.org/package/2006/relationships"><Relationship Id="rId1" Type="http://purl.oclc.org/ooxml/officeDocument/relationships/printerSettings" Target="../printerSettings/printerSettings3.bin"/></Relationships>
</file>

<file path=xl/worksheets/_rels/sheet4.xml.rels><?xml version="1.0" encoding="UTF-8" standalone="yes"?>
<Relationships xmlns="http://schemas.openxmlformats.org/package/2006/relationships"><Relationship Id="rId1" Type="http://purl.oclc.org/ooxml/officeDocument/relationships/printerSettings" Target="../printerSettings/printerSettings4.bin"/></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O126"/>
  <sheetViews>
    <sheetView workbookViewId="0">
      <selection activeCell="B2" sqref="B2:C2"/>
    </sheetView>
  </sheetViews>
  <sheetFormatPr defaultColWidth="9.109375" defaultRowHeight="13.2" x14ac:dyDescent="0.25"/>
  <cols>
    <col min="1" max="1" width="6.33203125" style="3" customWidth="1"/>
    <col min="2" max="2" width="62" style="2" customWidth="1"/>
    <col min="3" max="3" width="14.5546875" style="2" bestFit="1" customWidth="1"/>
    <col min="4" max="4" width="9.33203125" style="2" customWidth="1"/>
    <col min="5" max="5" width="11.6640625" style="2" bestFit="1" customWidth="1"/>
    <col min="6" max="6" width="15.109375" style="2" customWidth="1"/>
    <col min="7" max="16384" width="9.109375" style="2"/>
  </cols>
  <sheetData>
    <row r="1" spans="1:15" ht="15.6" x14ac:dyDescent="0.3">
      <c r="A1" s="75"/>
      <c r="B1" s="142" t="s">
        <v>252</v>
      </c>
      <c r="C1" s="142"/>
    </row>
    <row r="2" spans="1:15" ht="15.6" x14ac:dyDescent="0.3">
      <c r="A2" s="75"/>
      <c r="B2" s="143" t="s">
        <v>424</v>
      </c>
      <c r="C2" s="143"/>
    </row>
    <row r="3" spans="1:15" ht="15.6" x14ac:dyDescent="0.3">
      <c r="A3" s="144" t="s">
        <v>195</v>
      </c>
      <c r="B3" s="144"/>
      <c r="C3" s="144"/>
    </row>
    <row r="4" spans="1:15" ht="15.6" x14ac:dyDescent="0.3">
      <c r="A4" s="77"/>
      <c r="B4" s="76"/>
      <c r="C4" s="76"/>
    </row>
    <row r="5" spans="1:15" x14ac:dyDescent="0.25">
      <c r="A5" s="75"/>
      <c r="B5" s="78" t="s">
        <v>356</v>
      </c>
      <c r="C5" s="79"/>
    </row>
    <row r="6" spans="1:15" x14ac:dyDescent="0.25">
      <c r="A6" s="75"/>
      <c r="B6" s="79"/>
      <c r="C6" s="79"/>
    </row>
    <row r="7" spans="1:15" s="3" customFormat="1" x14ac:dyDescent="0.25">
      <c r="A7" s="80" t="s">
        <v>0</v>
      </c>
      <c r="B7" s="81" t="s">
        <v>196</v>
      </c>
      <c r="C7" s="81" t="s">
        <v>197</v>
      </c>
    </row>
    <row r="8" spans="1:15" ht="12.6" customHeight="1" x14ac:dyDescent="0.25">
      <c r="A8" s="82">
        <v>1</v>
      </c>
      <c r="B8" s="80" t="s">
        <v>274</v>
      </c>
      <c r="C8" s="83">
        <f>+C9+C10+C11+C15</f>
        <v>36945</v>
      </c>
      <c r="D8" s="4"/>
      <c r="E8" s="4"/>
      <c r="G8" s="38"/>
    </row>
    <row r="9" spans="1:15" ht="12.6" customHeight="1" x14ac:dyDescent="0.25">
      <c r="A9" s="82">
        <v>2</v>
      </c>
      <c r="B9" s="80" t="s">
        <v>198</v>
      </c>
      <c r="C9" s="84">
        <f>33430+844</f>
        <v>34274</v>
      </c>
      <c r="D9" s="4"/>
      <c r="E9" s="38"/>
      <c r="F9" s="39"/>
      <c r="G9" s="38"/>
    </row>
    <row r="10" spans="1:15" ht="26.4" x14ac:dyDescent="0.25">
      <c r="A10" s="82">
        <v>3</v>
      </c>
      <c r="B10" s="85" t="s">
        <v>275</v>
      </c>
      <c r="C10" s="84">
        <v>61</v>
      </c>
      <c r="D10" s="4"/>
      <c r="E10" s="38"/>
      <c r="F10" s="39"/>
    </row>
    <row r="11" spans="1:15" ht="12.6" customHeight="1" x14ac:dyDescent="0.25">
      <c r="A11" s="82">
        <v>4</v>
      </c>
      <c r="B11" s="80" t="s">
        <v>276</v>
      </c>
      <c r="C11" s="84">
        <f>+C12+C14+C13</f>
        <v>2415</v>
      </c>
      <c r="F11" s="39"/>
      <c r="G11" s="38"/>
    </row>
    <row r="12" spans="1:15" ht="12.6" customHeight="1" x14ac:dyDescent="0.25">
      <c r="A12" s="82">
        <v>5</v>
      </c>
      <c r="B12" s="86" t="s">
        <v>199</v>
      </c>
      <c r="C12" s="33">
        <v>900</v>
      </c>
      <c r="D12" s="4"/>
      <c r="F12" s="40"/>
      <c r="G12" s="38"/>
    </row>
    <row r="13" spans="1:15" ht="12.6" customHeight="1" x14ac:dyDescent="0.25">
      <c r="A13" s="82">
        <v>6</v>
      </c>
      <c r="B13" s="86" t="s">
        <v>200</v>
      </c>
      <c r="C13" s="33">
        <v>15</v>
      </c>
      <c r="D13" s="4"/>
      <c r="F13" s="40"/>
    </row>
    <row r="14" spans="1:15" ht="12.6" customHeight="1" x14ac:dyDescent="0.25">
      <c r="A14" s="82">
        <v>7</v>
      </c>
      <c r="B14" s="86" t="s">
        <v>201</v>
      </c>
      <c r="C14" s="33">
        <v>1500</v>
      </c>
      <c r="D14" s="4"/>
      <c r="F14" s="38"/>
      <c r="O14" s="4"/>
    </row>
    <row r="15" spans="1:15" ht="12.6" customHeight="1" x14ac:dyDescent="0.25">
      <c r="A15" s="82">
        <v>8</v>
      </c>
      <c r="B15" s="80" t="s">
        <v>277</v>
      </c>
      <c r="C15" s="83">
        <f>+C16</f>
        <v>195</v>
      </c>
      <c r="D15" s="4"/>
    </row>
    <row r="16" spans="1:15" ht="12.6" customHeight="1" x14ac:dyDescent="0.25">
      <c r="A16" s="82">
        <v>9</v>
      </c>
      <c r="B16" s="86" t="s">
        <v>202</v>
      </c>
      <c r="C16" s="33">
        <v>195</v>
      </c>
      <c r="D16" s="4"/>
      <c r="E16" s="72"/>
    </row>
    <row r="17" spans="1:8" x14ac:dyDescent="0.25">
      <c r="A17" s="82">
        <v>10</v>
      </c>
      <c r="B17" s="80" t="s">
        <v>278</v>
      </c>
      <c r="C17" s="83">
        <f>+C21+C50+C18</f>
        <v>31148.500000000004</v>
      </c>
      <c r="D17" s="4"/>
    </row>
    <row r="18" spans="1:8" ht="26.4" x14ac:dyDescent="0.25">
      <c r="A18" s="82">
        <v>11</v>
      </c>
      <c r="B18" s="85" t="s">
        <v>279</v>
      </c>
      <c r="C18" s="83">
        <f>+C19+C20</f>
        <v>1247.8999999999999</v>
      </c>
      <c r="D18" s="4"/>
    </row>
    <row r="19" spans="1:8" ht="26.4" x14ac:dyDescent="0.25">
      <c r="A19" s="82" t="s">
        <v>33</v>
      </c>
      <c r="B19" s="74" t="s">
        <v>203</v>
      </c>
      <c r="C19" s="33">
        <f>924.8+12+20.2+25+11.8+242.3</f>
        <v>1236.0999999999999</v>
      </c>
      <c r="D19" s="4"/>
      <c r="E19" s="72"/>
      <c r="F19" s="72"/>
      <c r="H19" s="38"/>
    </row>
    <row r="20" spans="1:8" ht="26.4" x14ac:dyDescent="0.25">
      <c r="A20" s="82" t="s">
        <v>34</v>
      </c>
      <c r="B20" s="74" t="s">
        <v>204</v>
      </c>
      <c r="C20" s="33">
        <f>287.7+1.3-136.2-141</f>
        <v>11.800000000000011</v>
      </c>
      <c r="D20" s="4"/>
      <c r="E20" s="72"/>
      <c r="F20" s="72"/>
      <c r="H20" s="38"/>
    </row>
    <row r="21" spans="1:8" ht="12.6" customHeight="1" x14ac:dyDescent="0.25">
      <c r="A21" s="82">
        <v>12</v>
      </c>
      <c r="B21" s="80" t="s">
        <v>280</v>
      </c>
      <c r="C21" s="84">
        <f>+C22+C47+C48</f>
        <v>23291.3</v>
      </c>
      <c r="D21" s="4"/>
    </row>
    <row r="22" spans="1:8" ht="12.6" customHeight="1" x14ac:dyDescent="0.25">
      <c r="A22" s="82">
        <v>13</v>
      </c>
      <c r="B22" s="86" t="s">
        <v>281</v>
      </c>
      <c r="C22" s="33">
        <f>SUM(C23:C46)</f>
        <v>5867.0000000000009</v>
      </c>
      <c r="D22" s="4"/>
      <c r="E22" s="72"/>
      <c r="F22" s="41"/>
    </row>
    <row r="23" spans="1:8" ht="12.6" customHeight="1" x14ac:dyDescent="0.25">
      <c r="A23" s="87" t="s">
        <v>173</v>
      </c>
      <c r="B23" s="86" t="s">
        <v>205</v>
      </c>
      <c r="C23" s="33">
        <v>30.1</v>
      </c>
      <c r="D23" s="4"/>
      <c r="E23" s="72"/>
      <c r="G23" s="4"/>
    </row>
    <row r="24" spans="1:8" ht="12.6" customHeight="1" x14ac:dyDescent="0.25">
      <c r="A24" s="82" t="s">
        <v>282</v>
      </c>
      <c r="B24" s="86" t="s">
        <v>206</v>
      </c>
      <c r="C24" s="33">
        <v>8.5</v>
      </c>
      <c r="D24" s="4"/>
      <c r="E24" s="72"/>
      <c r="G24" s="4"/>
    </row>
    <row r="25" spans="1:8" ht="12.6" customHeight="1" x14ac:dyDescent="0.25">
      <c r="A25" s="87" t="s">
        <v>283</v>
      </c>
      <c r="B25" s="86" t="s">
        <v>207</v>
      </c>
      <c r="C25" s="33">
        <f>374.4+23.7-10.2</f>
        <v>387.9</v>
      </c>
      <c r="D25" s="4"/>
      <c r="E25" s="72"/>
      <c r="F25" s="38"/>
      <c r="G25" s="4"/>
    </row>
    <row r="26" spans="1:8" ht="12.6" customHeight="1" x14ac:dyDescent="0.25">
      <c r="A26" s="82" t="s">
        <v>284</v>
      </c>
      <c r="B26" s="86" t="s">
        <v>208</v>
      </c>
      <c r="C26" s="33">
        <f>797.6+70.7</f>
        <v>868.30000000000007</v>
      </c>
      <c r="D26" s="4"/>
      <c r="E26" s="41"/>
    </row>
    <row r="27" spans="1:8" ht="12.6" customHeight="1" x14ac:dyDescent="0.25">
      <c r="A27" s="87" t="s">
        <v>285</v>
      </c>
      <c r="B27" s="86" t="s">
        <v>209</v>
      </c>
      <c r="C27" s="33">
        <f>882.7+828.8+60.6+100+55</f>
        <v>1927.1</v>
      </c>
      <c r="D27" s="4"/>
      <c r="E27" s="4"/>
    </row>
    <row r="28" spans="1:8" x14ac:dyDescent="0.25">
      <c r="A28" s="82" t="s">
        <v>286</v>
      </c>
      <c r="B28" s="86" t="s">
        <v>210</v>
      </c>
      <c r="C28" s="33">
        <f>19.8+0.2</f>
        <v>20</v>
      </c>
      <c r="D28" s="4"/>
    </row>
    <row r="29" spans="1:8" ht="26.4" x14ac:dyDescent="0.25">
      <c r="A29" s="87" t="s">
        <v>287</v>
      </c>
      <c r="B29" s="74" t="s">
        <v>211</v>
      </c>
      <c r="C29" s="33">
        <v>8.9</v>
      </c>
      <c r="D29" s="4"/>
      <c r="E29" s="41"/>
    </row>
    <row r="30" spans="1:8" ht="12.6" customHeight="1" x14ac:dyDescent="0.25">
      <c r="A30" s="82" t="s">
        <v>288</v>
      </c>
      <c r="B30" s="88" t="s">
        <v>212</v>
      </c>
      <c r="C30" s="33">
        <f>139.1+14</f>
        <v>153.1</v>
      </c>
      <c r="D30" s="4"/>
    </row>
    <row r="31" spans="1:8" ht="12.6" customHeight="1" x14ac:dyDescent="0.25">
      <c r="A31" s="87" t="s">
        <v>289</v>
      </c>
      <c r="B31" s="88" t="s">
        <v>213</v>
      </c>
      <c r="C31" s="33">
        <v>33.700000000000003</v>
      </c>
      <c r="D31" s="4"/>
    </row>
    <row r="32" spans="1:8" ht="12.6" customHeight="1" x14ac:dyDescent="0.25">
      <c r="A32" s="82" t="s">
        <v>290</v>
      </c>
      <c r="B32" s="88" t="s">
        <v>214</v>
      </c>
      <c r="C32" s="33">
        <v>14.5</v>
      </c>
      <c r="D32" s="4"/>
    </row>
    <row r="33" spans="1:7" ht="12.6" customHeight="1" x14ac:dyDescent="0.25">
      <c r="A33" s="87" t="s">
        <v>291</v>
      </c>
      <c r="B33" s="88" t="s">
        <v>215</v>
      </c>
      <c r="C33" s="33">
        <v>0.8</v>
      </c>
      <c r="D33" s="4"/>
    </row>
    <row r="34" spans="1:7" ht="12.6" customHeight="1" x14ac:dyDescent="0.25">
      <c r="A34" s="82" t="s">
        <v>292</v>
      </c>
      <c r="B34" s="88" t="s">
        <v>216</v>
      </c>
      <c r="C34" s="33">
        <v>46.5</v>
      </c>
      <c r="D34" s="4"/>
    </row>
    <row r="35" spans="1:7" x14ac:dyDescent="0.25">
      <c r="A35" s="87" t="s">
        <v>293</v>
      </c>
      <c r="B35" s="88" t="s">
        <v>217</v>
      </c>
      <c r="C35" s="33">
        <v>1176.9000000000001</v>
      </c>
      <c r="D35" s="4"/>
    </row>
    <row r="36" spans="1:7" ht="12.6" customHeight="1" x14ac:dyDescent="0.25">
      <c r="A36" s="82" t="s">
        <v>294</v>
      </c>
      <c r="B36" s="88" t="s">
        <v>218</v>
      </c>
      <c r="C36" s="33">
        <v>6.8</v>
      </c>
      <c r="D36" s="4"/>
    </row>
    <row r="37" spans="1:7" ht="12.6" customHeight="1" x14ac:dyDescent="0.25">
      <c r="A37" s="87" t="s">
        <v>295</v>
      </c>
      <c r="B37" s="88" t="s">
        <v>219</v>
      </c>
      <c r="C37" s="33">
        <v>190.7</v>
      </c>
      <c r="D37" s="4"/>
    </row>
    <row r="38" spans="1:7" ht="12.6" customHeight="1" x14ac:dyDescent="0.25">
      <c r="A38" s="82" t="s">
        <v>296</v>
      </c>
      <c r="B38" s="86" t="s">
        <v>220</v>
      </c>
      <c r="C38" s="33">
        <v>358</v>
      </c>
      <c r="D38" s="4"/>
    </row>
    <row r="39" spans="1:7" ht="26.4" x14ac:dyDescent="0.25">
      <c r="A39" s="87" t="s">
        <v>297</v>
      </c>
      <c r="B39" s="74" t="s">
        <v>298</v>
      </c>
      <c r="C39" s="33">
        <v>0.3</v>
      </c>
      <c r="D39" s="4"/>
    </row>
    <row r="40" spans="1:7" ht="12.6" customHeight="1" x14ac:dyDescent="0.25">
      <c r="A40" s="82" t="s">
        <v>299</v>
      </c>
      <c r="B40" s="86" t="s">
        <v>221</v>
      </c>
      <c r="C40" s="33">
        <v>22.1</v>
      </c>
      <c r="D40" s="4"/>
    </row>
    <row r="41" spans="1:7" ht="12.6" customHeight="1" x14ac:dyDescent="0.25">
      <c r="A41" s="87" t="s">
        <v>300</v>
      </c>
      <c r="B41" s="86" t="s">
        <v>222</v>
      </c>
      <c r="C41" s="33">
        <v>46.7</v>
      </c>
      <c r="D41" s="4"/>
    </row>
    <row r="42" spans="1:7" ht="12.6" customHeight="1" x14ac:dyDescent="0.25">
      <c r="A42" s="82" t="s">
        <v>301</v>
      </c>
      <c r="B42" s="74" t="s">
        <v>223</v>
      </c>
      <c r="C42" s="33">
        <v>1.3</v>
      </c>
      <c r="D42" s="4"/>
    </row>
    <row r="43" spans="1:7" ht="26.4" x14ac:dyDescent="0.25">
      <c r="A43" s="87" t="s">
        <v>302</v>
      </c>
      <c r="B43" s="74" t="s">
        <v>303</v>
      </c>
      <c r="C43" s="33">
        <v>452.5</v>
      </c>
      <c r="D43" s="4"/>
    </row>
    <row r="44" spans="1:7" ht="15.75" customHeight="1" x14ac:dyDescent="0.25">
      <c r="A44" s="82" t="s">
        <v>304</v>
      </c>
      <c r="B44" s="74" t="s">
        <v>224</v>
      </c>
      <c r="C44" s="33">
        <v>2.5</v>
      </c>
      <c r="D44" s="4"/>
    </row>
    <row r="45" spans="1:7" x14ac:dyDescent="0.25">
      <c r="A45" s="87" t="s">
        <v>305</v>
      </c>
      <c r="B45" s="74" t="s">
        <v>225</v>
      </c>
      <c r="C45" s="33">
        <v>91</v>
      </c>
      <c r="D45" s="4"/>
    </row>
    <row r="46" spans="1:7" ht="39.6" x14ac:dyDescent="0.25">
      <c r="A46" s="82" t="s">
        <v>306</v>
      </c>
      <c r="B46" s="74" t="s">
        <v>307</v>
      </c>
      <c r="C46" s="33">
        <v>18.8</v>
      </c>
      <c r="D46" s="4"/>
    </row>
    <row r="47" spans="1:7" x14ac:dyDescent="0.25">
      <c r="A47" s="82">
        <v>14</v>
      </c>
      <c r="B47" s="86" t="s">
        <v>308</v>
      </c>
      <c r="C47" s="33">
        <f>17141-275.4</f>
        <v>16865.599999999999</v>
      </c>
      <c r="D47" s="4"/>
      <c r="E47" s="72"/>
      <c r="F47" s="41"/>
      <c r="G47" s="4"/>
    </row>
    <row r="48" spans="1:7" ht="12.6" customHeight="1" x14ac:dyDescent="0.25">
      <c r="A48" s="82">
        <v>15</v>
      </c>
      <c r="B48" s="86" t="s">
        <v>226</v>
      </c>
      <c r="C48" s="89">
        <f>+C49</f>
        <v>558.70000000000005</v>
      </c>
      <c r="D48" s="4"/>
      <c r="E48" s="72"/>
      <c r="F48" s="41"/>
      <c r="G48" s="4"/>
    </row>
    <row r="49" spans="1:7" ht="12.6" customHeight="1" x14ac:dyDescent="0.25">
      <c r="A49" s="90" t="s">
        <v>105</v>
      </c>
      <c r="B49" s="74" t="s">
        <v>227</v>
      </c>
      <c r="C49" s="33">
        <v>558.70000000000005</v>
      </c>
      <c r="D49" s="4"/>
      <c r="F49" s="41"/>
      <c r="G49" s="4"/>
    </row>
    <row r="50" spans="1:7" ht="12.6" customHeight="1" x14ac:dyDescent="0.25">
      <c r="A50" s="82">
        <v>16</v>
      </c>
      <c r="B50" s="80" t="s">
        <v>228</v>
      </c>
      <c r="C50" s="84">
        <f>SUM(C51:C80)</f>
        <v>6609.3000000000029</v>
      </c>
      <c r="D50" s="4"/>
      <c r="E50" s="4"/>
    </row>
    <row r="51" spans="1:7" x14ac:dyDescent="0.25">
      <c r="A51" s="82" t="s">
        <v>255</v>
      </c>
      <c r="B51" s="74" t="s">
        <v>229</v>
      </c>
      <c r="C51" s="91">
        <v>270.89999999999998</v>
      </c>
      <c r="D51" s="54"/>
      <c r="E51" s="72"/>
    </row>
    <row r="52" spans="1:7" ht="39.6" x14ac:dyDescent="0.25">
      <c r="A52" s="82" t="s">
        <v>309</v>
      </c>
      <c r="B52" s="74" t="s">
        <v>334</v>
      </c>
      <c r="C52" s="33">
        <v>209</v>
      </c>
      <c r="D52" s="54"/>
      <c r="E52" s="72"/>
    </row>
    <row r="53" spans="1:7" ht="34.200000000000003" customHeight="1" x14ac:dyDescent="0.25">
      <c r="A53" s="82" t="s">
        <v>310</v>
      </c>
      <c r="B53" s="74" t="s">
        <v>311</v>
      </c>
      <c r="C53" s="33">
        <v>3.2</v>
      </c>
      <c r="D53" s="54"/>
      <c r="E53" s="72"/>
    </row>
    <row r="54" spans="1:7" x14ac:dyDescent="0.25">
      <c r="A54" s="82" t="s">
        <v>312</v>
      </c>
      <c r="B54" s="74" t="s">
        <v>313</v>
      </c>
      <c r="C54" s="33">
        <v>55.5</v>
      </c>
      <c r="D54" s="54"/>
      <c r="E54" s="72"/>
    </row>
    <row r="55" spans="1:7" ht="26.4" x14ac:dyDescent="0.25">
      <c r="A55" s="82" t="s">
        <v>314</v>
      </c>
      <c r="B55" s="74" t="s">
        <v>315</v>
      </c>
      <c r="C55" s="91">
        <f>134.6+15.6</f>
        <v>150.19999999999999</v>
      </c>
      <c r="D55" s="6"/>
      <c r="E55" s="72"/>
    </row>
    <row r="56" spans="1:7" ht="52.8" x14ac:dyDescent="0.25">
      <c r="A56" s="82" t="s">
        <v>316</v>
      </c>
      <c r="B56" s="74" t="s">
        <v>340</v>
      </c>
      <c r="C56" s="91">
        <v>371.2</v>
      </c>
      <c r="D56" s="54"/>
      <c r="E56" s="72"/>
    </row>
    <row r="57" spans="1:7" ht="39.6" x14ac:dyDescent="0.25">
      <c r="A57" s="82" t="s">
        <v>317</v>
      </c>
      <c r="B57" s="74" t="s">
        <v>407</v>
      </c>
      <c r="C57" s="91">
        <v>436.3</v>
      </c>
      <c r="D57" s="54"/>
      <c r="E57" s="72"/>
    </row>
    <row r="58" spans="1:7" ht="39.6" x14ac:dyDescent="0.25">
      <c r="A58" s="82" t="s">
        <v>326</v>
      </c>
      <c r="B58" s="74" t="s">
        <v>318</v>
      </c>
      <c r="C58" s="33">
        <v>62</v>
      </c>
      <c r="D58" s="54"/>
      <c r="E58" s="72"/>
      <c r="G58" s="92"/>
    </row>
    <row r="59" spans="1:7" ht="26.4" x14ac:dyDescent="0.25">
      <c r="A59" s="82" t="s">
        <v>335</v>
      </c>
      <c r="B59" s="74" t="s">
        <v>344</v>
      </c>
      <c r="C59" s="91">
        <v>150.4</v>
      </c>
      <c r="D59" s="54"/>
      <c r="E59" s="72"/>
      <c r="G59" s="92"/>
    </row>
    <row r="60" spans="1:7" ht="26.4" x14ac:dyDescent="0.25">
      <c r="A60" s="82" t="s">
        <v>336</v>
      </c>
      <c r="B60" s="74" t="s">
        <v>345</v>
      </c>
      <c r="C60" s="91">
        <v>135.4</v>
      </c>
      <c r="D60" s="54"/>
      <c r="E60" s="72"/>
      <c r="G60" s="92"/>
    </row>
    <row r="61" spans="1:7" ht="26.4" x14ac:dyDescent="0.25">
      <c r="A61" s="82" t="s">
        <v>342</v>
      </c>
      <c r="B61" s="74" t="s">
        <v>349</v>
      </c>
      <c r="C61" s="91">
        <f>24.8+2.2</f>
        <v>27</v>
      </c>
      <c r="D61" s="54"/>
      <c r="E61" s="72"/>
      <c r="G61" s="92"/>
    </row>
    <row r="62" spans="1:7" ht="39.6" x14ac:dyDescent="0.25">
      <c r="A62" s="82" t="s">
        <v>343</v>
      </c>
      <c r="B62" s="74" t="s">
        <v>350</v>
      </c>
      <c r="C62" s="91">
        <v>84.1</v>
      </c>
      <c r="D62" s="54"/>
      <c r="E62" s="72"/>
      <c r="G62" s="92"/>
    </row>
    <row r="63" spans="1:7" x14ac:dyDescent="0.25">
      <c r="A63" s="82" t="s">
        <v>348</v>
      </c>
      <c r="B63" s="74" t="s">
        <v>376</v>
      </c>
      <c r="C63" s="91">
        <v>8.1999999999999993</v>
      </c>
      <c r="D63" s="54"/>
      <c r="E63" s="72"/>
      <c r="G63" s="92"/>
    </row>
    <row r="64" spans="1:7" x14ac:dyDescent="0.25">
      <c r="A64" s="82" t="s">
        <v>359</v>
      </c>
      <c r="B64" s="74" t="s">
        <v>337</v>
      </c>
      <c r="C64" s="91">
        <v>25</v>
      </c>
      <c r="D64" s="54"/>
      <c r="E64" s="72"/>
      <c r="G64" s="92"/>
    </row>
    <row r="65" spans="1:7" ht="26.4" x14ac:dyDescent="0.25">
      <c r="A65" s="82" t="s">
        <v>360</v>
      </c>
      <c r="B65" s="74" t="s">
        <v>339</v>
      </c>
      <c r="C65" s="91">
        <f>550+474</f>
        <v>1024</v>
      </c>
      <c r="D65" s="54"/>
      <c r="E65" s="72"/>
      <c r="G65" s="92"/>
    </row>
    <row r="66" spans="1:7" x14ac:dyDescent="0.25">
      <c r="A66" s="82" t="s">
        <v>368</v>
      </c>
      <c r="B66" s="74" t="s">
        <v>358</v>
      </c>
      <c r="C66" s="91">
        <v>3008.3</v>
      </c>
      <c r="D66" s="54"/>
      <c r="E66" s="72"/>
      <c r="G66" s="92"/>
    </row>
    <row r="67" spans="1:7" ht="26.4" x14ac:dyDescent="0.25">
      <c r="A67" s="82" t="s">
        <v>370</v>
      </c>
      <c r="B67" s="74" t="s">
        <v>361</v>
      </c>
      <c r="C67" s="91">
        <v>21.3</v>
      </c>
      <c r="D67" s="54"/>
      <c r="E67" s="72"/>
      <c r="G67" s="92"/>
    </row>
    <row r="68" spans="1:7" ht="39.6" x14ac:dyDescent="0.25">
      <c r="A68" s="82" t="s">
        <v>373</v>
      </c>
      <c r="B68" s="74" t="s">
        <v>362</v>
      </c>
      <c r="C68" s="91">
        <v>22.3</v>
      </c>
      <c r="D68" s="54"/>
      <c r="E68" s="72"/>
      <c r="G68" s="92"/>
    </row>
    <row r="69" spans="1:7" ht="26.4" x14ac:dyDescent="0.25">
      <c r="A69" s="82" t="s">
        <v>372</v>
      </c>
      <c r="B69" s="74" t="s">
        <v>369</v>
      </c>
      <c r="C69" s="91">
        <v>50</v>
      </c>
      <c r="D69" s="54"/>
      <c r="E69" s="72"/>
      <c r="G69" s="92"/>
    </row>
    <row r="70" spans="1:7" ht="39.6" x14ac:dyDescent="0.25">
      <c r="A70" s="82" t="s">
        <v>375</v>
      </c>
      <c r="B70" s="74" t="s">
        <v>422</v>
      </c>
      <c r="C70" s="91">
        <f>11.8+17.4+35.1+27.9+4.8+4.1</f>
        <v>101.09999999999998</v>
      </c>
      <c r="D70" s="54"/>
      <c r="E70" s="72"/>
      <c r="G70" s="92"/>
    </row>
    <row r="71" spans="1:7" ht="39.6" x14ac:dyDescent="0.25">
      <c r="A71" s="82" t="s">
        <v>387</v>
      </c>
      <c r="B71" s="74" t="s">
        <v>371</v>
      </c>
      <c r="C71" s="91">
        <v>7</v>
      </c>
      <c r="D71" s="54"/>
      <c r="E71" s="72"/>
      <c r="G71" s="92"/>
    </row>
    <row r="72" spans="1:7" ht="39.6" x14ac:dyDescent="0.25">
      <c r="A72" s="82" t="s">
        <v>391</v>
      </c>
      <c r="B72" s="74" t="s">
        <v>374</v>
      </c>
      <c r="C72" s="91">
        <v>43</v>
      </c>
      <c r="D72" s="54"/>
      <c r="E72" s="72"/>
      <c r="G72" s="92"/>
    </row>
    <row r="73" spans="1:7" ht="26.4" x14ac:dyDescent="0.25">
      <c r="A73" s="82" t="s">
        <v>392</v>
      </c>
      <c r="B73" s="74" t="s">
        <v>377</v>
      </c>
      <c r="C73" s="91">
        <f>37.8+101</f>
        <v>138.80000000000001</v>
      </c>
      <c r="D73" s="54"/>
      <c r="E73" s="72"/>
      <c r="G73" s="92"/>
    </row>
    <row r="74" spans="1:7" ht="26.4" x14ac:dyDescent="0.25">
      <c r="A74" s="82" t="s">
        <v>393</v>
      </c>
      <c r="B74" s="74" t="s">
        <v>388</v>
      </c>
      <c r="C74" s="91">
        <f>3.7+22.6+22.6+23.2+15.8</f>
        <v>87.9</v>
      </c>
      <c r="D74" s="54"/>
      <c r="E74" s="72"/>
      <c r="G74" s="92"/>
    </row>
    <row r="75" spans="1:7" x14ac:dyDescent="0.25">
      <c r="A75" s="82" t="s">
        <v>416</v>
      </c>
      <c r="B75" s="74" t="s">
        <v>394</v>
      </c>
      <c r="C75" s="91">
        <v>32.799999999999997</v>
      </c>
      <c r="D75" s="54"/>
      <c r="E75" s="72"/>
      <c r="G75" s="92"/>
    </row>
    <row r="76" spans="1:7" ht="26.4" x14ac:dyDescent="0.25">
      <c r="A76" s="82" t="s">
        <v>417</v>
      </c>
      <c r="B76" s="74" t="s">
        <v>406</v>
      </c>
      <c r="C76" s="91">
        <v>27.3</v>
      </c>
      <c r="D76" s="54"/>
      <c r="E76" s="72"/>
      <c r="G76" s="92"/>
    </row>
    <row r="77" spans="1:7" ht="39.6" x14ac:dyDescent="0.25">
      <c r="A77" s="82" t="s">
        <v>418</v>
      </c>
      <c r="B77" s="74" t="s">
        <v>400</v>
      </c>
      <c r="C77" s="91">
        <v>6.1</v>
      </c>
      <c r="D77" s="54"/>
      <c r="E77" s="72"/>
      <c r="G77" s="92"/>
    </row>
    <row r="78" spans="1:7" ht="52.8" x14ac:dyDescent="0.25">
      <c r="A78" s="82" t="s">
        <v>419</v>
      </c>
      <c r="B78" s="74" t="s">
        <v>423</v>
      </c>
      <c r="C78" s="91">
        <f>2.1+1.2</f>
        <v>3.3</v>
      </c>
      <c r="D78" s="54"/>
      <c r="E78" s="72"/>
      <c r="G78" s="92"/>
    </row>
    <row r="79" spans="1:7" ht="66" x14ac:dyDescent="0.25">
      <c r="A79" s="82" t="s">
        <v>420</v>
      </c>
      <c r="B79" s="74" t="s">
        <v>399</v>
      </c>
      <c r="C79" s="91">
        <f>20.7+26.9</f>
        <v>47.599999999999994</v>
      </c>
      <c r="D79" s="54"/>
      <c r="E79" s="72"/>
      <c r="G79" s="92"/>
    </row>
    <row r="80" spans="1:7" x14ac:dyDescent="0.25">
      <c r="A80" s="82" t="s">
        <v>421</v>
      </c>
      <c r="B80" s="74" t="s">
        <v>410</v>
      </c>
      <c r="C80" s="91">
        <v>0.1</v>
      </c>
      <c r="D80" s="54"/>
      <c r="E80" s="72"/>
      <c r="G80" s="92"/>
    </row>
    <row r="81" spans="1:7" x14ac:dyDescent="0.25">
      <c r="A81" s="82">
        <v>17</v>
      </c>
      <c r="B81" s="80" t="s">
        <v>319</v>
      </c>
      <c r="C81" s="93">
        <f>C82+C87+C91+C94+C95+C96</f>
        <v>4088.3</v>
      </c>
      <c r="D81" s="4"/>
      <c r="G81" s="38"/>
    </row>
    <row r="82" spans="1:7" x14ac:dyDescent="0.25">
      <c r="A82" s="82">
        <v>18</v>
      </c>
      <c r="B82" s="80" t="s">
        <v>320</v>
      </c>
      <c r="C82" s="93">
        <f>C84+C85+C86+C83</f>
        <v>600</v>
      </c>
      <c r="D82" s="4"/>
    </row>
    <row r="83" spans="1:7" x14ac:dyDescent="0.25">
      <c r="A83" s="82">
        <v>19</v>
      </c>
      <c r="B83" s="94" t="s">
        <v>230</v>
      </c>
      <c r="C83" s="33">
        <v>30</v>
      </c>
      <c r="D83" s="4"/>
    </row>
    <row r="84" spans="1:7" ht="26.4" x14ac:dyDescent="0.25">
      <c r="A84" s="82">
        <v>20</v>
      </c>
      <c r="B84" s="74" t="s">
        <v>231</v>
      </c>
      <c r="C84" s="91">
        <v>500</v>
      </c>
      <c r="D84" s="4"/>
    </row>
    <row r="85" spans="1:7" x14ac:dyDescent="0.25">
      <c r="A85" s="82">
        <v>21</v>
      </c>
      <c r="B85" s="86" t="s">
        <v>232</v>
      </c>
      <c r="C85" s="33">
        <v>35</v>
      </c>
      <c r="D85" s="4"/>
      <c r="E85" s="72"/>
    </row>
    <row r="86" spans="1:7" x14ac:dyDescent="0.25">
      <c r="A86" s="82">
        <v>22</v>
      </c>
      <c r="B86" s="95" t="s">
        <v>107</v>
      </c>
      <c r="C86" s="33">
        <v>35</v>
      </c>
      <c r="D86" s="4"/>
      <c r="E86" s="72"/>
    </row>
    <row r="87" spans="1:7" x14ac:dyDescent="0.25">
      <c r="A87" s="82">
        <v>23</v>
      </c>
      <c r="B87" s="80" t="s">
        <v>321</v>
      </c>
      <c r="C87" s="84">
        <f>+C89+C88+C90</f>
        <v>1710.3</v>
      </c>
      <c r="D87" s="4"/>
    </row>
    <row r="88" spans="1:7" x14ac:dyDescent="0.25">
      <c r="A88" s="82">
        <v>24</v>
      </c>
      <c r="B88" s="86" t="s">
        <v>233</v>
      </c>
      <c r="C88" s="33">
        <v>185.6</v>
      </c>
      <c r="D88" s="4"/>
      <c r="E88" s="72"/>
      <c r="F88" s="41"/>
    </row>
    <row r="89" spans="1:7" x14ac:dyDescent="0.25">
      <c r="A89" s="82">
        <v>25</v>
      </c>
      <c r="B89" s="86" t="s">
        <v>234</v>
      </c>
      <c r="C89" s="33">
        <f>124.8-0.1</f>
        <v>124.7</v>
      </c>
      <c r="D89" s="4"/>
      <c r="E89" s="72"/>
      <c r="F89" s="41"/>
    </row>
    <row r="90" spans="1:7" x14ac:dyDescent="0.25">
      <c r="A90" s="82">
        <v>26</v>
      </c>
      <c r="B90" s="86" t="s">
        <v>235</v>
      </c>
      <c r="C90" s="33">
        <f>1380+20</f>
        <v>1400</v>
      </c>
      <c r="D90" s="4"/>
      <c r="E90" s="72"/>
      <c r="F90" s="41"/>
    </row>
    <row r="91" spans="1:7" x14ac:dyDescent="0.25">
      <c r="A91" s="82">
        <v>27</v>
      </c>
      <c r="B91" s="80" t="s">
        <v>322</v>
      </c>
      <c r="C91" s="83">
        <f>+C92+C93</f>
        <v>1640</v>
      </c>
      <c r="D91" s="4"/>
      <c r="E91" s="41"/>
      <c r="F91" s="41"/>
    </row>
    <row r="92" spans="1:7" x14ac:dyDescent="0.25">
      <c r="A92" s="82">
        <v>28</v>
      </c>
      <c r="B92" s="86" t="s">
        <v>236</v>
      </c>
      <c r="C92" s="33">
        <v>40</v>
      </c>
      <c r="D92" s="4"/>
      <c r="G92" s="38"/>
    </row>
    <row r="93" spans="1:7" x14ac:dyDescent="0.25">
      <c r="A93" s="82">
        <v>29</v>
      </c>
      <c r="B93" s="86" t="s">
        <v>237</v>
      </c>
      <c r="C93" s="33">
        <v>1600</v>
      </c>
      <c r="D93" s="4"/>
      <c r="E93" s="72"/>
    </row>
    <row r="94" spans="1:7" x14ac:dyDescent="0.25">
      <c r="A94" s="82">
        <v>30</v>
      </c>
      <c r="B94" s="80" t="s">
        <v>238</v>
      </c>
      <c r="C94" s="84">
        <v>50</v>
      </c>
      <c r="D94" s="4"/>
      <c r="E94" s="41"/>
      <c r="F94" s="41"/>
    </row>
    <row r="95" spans="1:7" x14ac:dyDescent="0.25">
      <c r="A95" s="82">
        <v>31</v>
      </c>
      <c r="B95" s="80" t="s">
        <v>239</v>
      </c>
      <c r="C95" s="84">
        <v>10</v>
      </c>
      <c r="D95" s="4"/>
      <c r="E95" s="4"/>
    </row>
    <row r="96" spans="1:7" x14ac:dyDescent="0.25">
      <c r="A96" s="82">
        <v>32</v>
      </c>
      <c r="B96" s="80" t="s">
        <v>240</v>
      </c>
      <c r="C96" s="84">
        <v>78</v>
      </c>
      <c r="D96" s="4"/>
    </row>
    <row r="97" spans="1:7" x14ac:dyDescent="0.25">
      <c r="A97" s="82">
        <v>33</v>
      </c>
      <c r="B97" s="96" t="s">
        <v>323</v>
      </c>
      <c r="C97" s="84">
        <f>+C8+C17+C81</f>
        <v>72181.8</v>
      </c>
      <c r="D97" s="97"/>
      <c r="E97" s="4"/>
    </row>
    <row r="98" spans="1:7" ht="12.6" customHeight="1" x14ac:dyDescent="0.25">
      <c r="A98" s="82">
        <v>34</v>
      </c>
      <c r="B98" s="85" t="s">
        <v>241</v>
      </c>
      <c r="C98" s="83">
        <f>1169.7+400</f>
        <v>1569.7</v>
      </c>
      <c r="D98" s="40"/>
      <c r="F98" s="4"/>
      <c r="G98" s="98"/>
    </row>
    <row r="99" spans="1:7" ht="12.6" customHeight="1" x14ac:dyDescent="0.25">
      <c r="A99" s="82">
        <v>35</v>
      </c>
      <c r="B99" s="96" t="s">
        <v>324</v>
      </c>
      <c r="C99" s="84">
        <f>+C97+C98</f>
        <v>73751.5</v>
      </c>
      <c r="D99" s="4"/>
      <c r="E99" s="4"/>
      <c r="F99" s="4"/>
      <c r="G99" s="4"/>
    </row>
    <row r="100" spans="1:7" ht="12.6" customHeight="1" x14ac:dyDescent="0.25">
      <c r="A100" s="82">
        <v>36</v>
      </c>
      <c r="B100" s="80" t="s">
        <v>325</v>
      </c>
      <c r="C100" s="84">
        <f>+C101+C103+C102+C104+C105+C106+C107+C108+C109</f>
        <v>5531.8</v>
      </c>
      <c r="D100" s="38"/>
      <c r="E100" s="4"/>
      <c r="F100" s="4"/>
      <c r="G100" s="4"/>
    </row>
    <row r="101" spans="1:7" x14ac:dyDescent="0.25">
      <c r="A101" s="82">
        <v>37</v>
      </c>
      <c r="B101" s="86" t="s">
        <v>242</v>
      </c>
      <c r="C101" s="33">
        <f>4778.7-(1931.1-270.6-185-744.8)</f>
        <v>4048</v>
      </c>
      <c r="D101" s="99"/>
      <c r="E101" s="4"/>
      <c r="F101" s="4"/>
      <c r="G101" s="4"/>
    </row>
    <row r="102" spans="1:7" ht="12.6" customHeight="1" x14ac:dyDescent="0.25">
      <c r="A102" s="82">
        <v>38</v>
      </c>
      <c r="B102" s="86" t="s">
        <v>243</v>
      </c>
      <c r="C102" s="33">
        <v>48.7</v>
      </c>
      <c r="D102" s="73"/>
      <c r="E102" s="72"/>
      <c r="F102" s="4"/>
      <c r="G102" s="4"/>
    </row>
    <row r="103" spans="1:7" ht="12.6" customHeight="1" x14ac:dyDescent="0.25">
      <c r="A103" s="82">
        <v>39</v>
      </c>
      <c r="B103" s="86" t="s">
        <v>244</v>
      </c>
      <c r="C103" s="33">
        <v>54.3</v>
      </c>
      <c r="D103" s="73"/>
      <c r="E103" s="72"/>
      <c r="F103" s="4"/>
      <c r="G103" s="4"/>
    </row>
    <row r="104" spans="1:7" ht="12.6" customHeight="1" x14ac:dyDescent="0.25">
      <c r="A104" s="82">
        <v>40</v>
      </c>
      <c r="B104" s="74" t="s">
        <v>245</v>
      </c>
      <c r="C104" s="33">
        <v>116.3</v>
      </c>
      <c r="D104" s="73"/>
      <c r="E104" s="72"/>
      <c r="F104" s="4"/>
      <c r="G104" s="4"/>
    </row>
    <row r="105" spans="1:7" ht="12.6" customHeight="1" x14ac:dyDescent="0.25">
      <c r="A105" s="82">
        <v>41</v>
      </c>
      <c r="B105" s="86" t="s">
        <v>246</v>
      </c>
      <c r="C105" s="33">
        <v>190.5</v>
      </c>
      <c r="D105" s="73"/>
      <c r="E105" s="72"/>
      <c r="G105" s="4"/>
    </row>
    <row r="106" spans="1:7" ht="12.6" customHeight="1" x14ac:dyDescent="0.25">
      <c r="A106" s="82">
        <v>42</v>
      </c>
      <c r="B106" s="86" t="s">
        <v>247</v>
      </c>
      <c r="C106" s="33">
        <v>120</v>
      </c>
      <c r="D106" s="73"/>
      <c r="E106" s="72"/>
      <c r="F106" s="4"/>
      <c r="G106" s="4"/>
    </row>
    <row r="107" spans="1:7" ht="12.6" customHeight="1" x14ac:dyDescent="0.25">
      <c r="A107" s="82">
        <v>43</v>
      </c>
      <c r="B107" s="86" t="s">
        <v>248</v>
      </c>
      <c r="C107" s="33">
        <f>(6.4+118.9-30.3)+(304+8.5-62.5)</f>
        <v>345</v>
      </c>
      <c r="D107" s="100"/>
      <c r="E107" s="73"/>
      <c r="F107" s="4"/>
      <c r="G107" s="4"/>
    </row>
    <row r="108" spans="1:7" ht="12.6" customHeight="1" x14ac:dyDescent="0.25">
      <c r="A108" s="82">
        <v>44</v>
      </c>
      <c r="B108" s="88" t="s">
        <v>203</v>
      </c>
      <c r="C108" s="33">
        <f>583.1</f>
        <v>583.1</v>
      </c>
      <c r="D108" s="73"/>
      <c r="E108" s="72"/>
      <c r="F108" s="72"/>
      <c r="G108" s="4"/>
    </row>
    <row r="109" spans="1:7" ht="12.6" customHeight="1" x14ac:dyDescent="0.25">
      <c r="A109" s="82">
        <v>45</v>
      </c>
      <c r="B109" s="88" t="s">
        <v>249</v>
      </c>
      <c r="C109" s="33">
        <f>25.9</f>
        <v>25.9</v>
      </c>
      <c r="D109" s="73"/>
      <c r="E109" s="72"/>
      <c r="F109" s="72"/>
      <c r="G109" s="4"/>
    </row>
    <row r="110" spans="1:7" ht="12.6" customHeight="1" x14ac:dyDescent="0.25">
      <c r="A110" s="82">
        <v>46</v>
      </c>
      <c r="B110" s="96" t="s">
        <v>250</v>
      </c>
      <c r="C110" s="101">
        <f>+C99+C100</f>
        <v>79283.3</v>
      </c>
      <c r="D110" s="39"/>
      <c r="G110" s="38"/>
    </row>
    <row r="111" spans="1:7" ht="12.6" customHeight="1" x14ac:dyDescent="0.25">
      <c r="A111" s="75"/>
      <c r="B111" s="102" t="s">
        <v>251</v>
      </c>
      <c r="C111" s="103"/>
    </row>
    <row r="112" spans="1:7" ht="12.6" customHeight="1" x14ac:dyDescent="0.25">
      <c r="A112" s="75"/>
      <c r="B112" s="102"/>
      <c r="C112" s="40"/>
    </row>
    <row r="113" spans="1:7" ht="12.6" customHeight="1" x14ac:dyDescent="0.25">
      <c r="A113" s="75"/>
      <c r="B113" s="102"/>
      <c r="C113" s="38"/>
      <c r="D113" s="38"/>
    </row>
    <row r="114" spans="1:7" ht="12.6" customHeight="1" x14ac:dyDescent="0.25">
      <c r="A114" s="75"/>
      <c r="B114" s="102"/>
      <c r="C114" s="40"/>
      <c r="G114" s="38"/>
    </row>
    <row r="115" spans="1:7" ht="12.6" customHeight="1" x14ac:dyDescent="0.25">
      <c r="A115" s="75"/>
      <c r="B115" s="102"/>
      <c r="C115" s="103"/>
    </row>
    <row r="116" spans="1:7" x14ac:dyDescent="0.25">
      <c r="B116" s="25"/>
      <c r="C116" s="40"/>
      <c r="G116" s="38"/>
    </row>
    <row r="117" spans="1:7" x14ac:dyDescent="0.25">
      <c r="B117" s="25"/>
      <c r="C117" s="40"/>
    </row>
    <row r="118" spans="1:7" x14ac:dyDescent="0.25">
      <c r="B118" s="25"/>
      <c r="C118" s="40"/>
    </row>
    <row r="119" spans="1:7" ht="15.6" x14ac:dyDescent="0.3">
      <c r="B119" s="42"/>
      <c r="C119" s="40"/>
      <c r="G119" s="38"/>
    </row>
    <row r="120" spans="1:7" ht="15.6" x14ac:dyDescent="0.3">
      <c r="B120" s="42"/>
      <c r="C120" s="40"/>
      <c r="G120" s="38"/>
    </row>
    <row r="121" spans="1:7" ht="15.6" x14ac:dyDescent="0.3">
      <c r="B121" s="104"/>
      <c r="C121" s="40"/>
    </row>
    <row r="122" spans="1:7" ht="15.6" x14ac:dyDescent="0.3">
      <c r="B122" s="42"/>
      <c r="C122" s="40"/>
      <c r="F122" s="25"/>
    </row>
    <row r="123" spans="1:7" x14ac:dyDescent="0.25">
      <c r="B123" s="25"/>
      <c r="C123" s="38"/>
    </row>
    <row r="124" spans="1:7" x14ac:dyDescent="0.25">
      <c r="B124" s="105"/>
      <c r="C124" s="40"/>
    </row>
    <row r="126" spans="1:7" x14ac:dyDescent="0.25">
      <c r="C126" s="38"/>
    </row>
  </sheetData>
  <mergeCells count="3">
    <mergeCell ref="B1:C1"/>
    <mergeCell ref="B2:C2"/>
    <mergeCell ref="A3:C3"/>
  </mergeCells>
  <phoneticPr fontId="10" type="noConversion"/>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H109"/>
  <sheetViews>
    <sheetView workbookViewId="0">
      <selection activeCell="F7" sqref="F7"/>
    </sheetView>
  </sheetViews>
  <sheetFormatPr defaultColWidth="9.109375" defaultRowHeight="13.2" x14ac:dyDescent="0.25"/>
  <cols>
    <col min="1" max="1" width="3.88671875" style="3" customWidth="1"/>
    <col min="2" max="2" width="7.33203125" style="7" customWidth="1"/>
    <col min="3" max="3" width="55.109375" style="114" customWidth="1"/>
    <col min="4" max="4" width="10.33203125" style="53" customWidth="1"/>
    <col min="5" max="5" width="7.6640625" style="5" customWidth="1"/>
    <col min="6" max="6" width="11.109375" style="5" customWidth="1"/>
    <col min="7" max="16384" width="9.109375" style="2"/>
  </cols>
  <sheetData>
    <row r="1" spans="1:8" ht="15.6" x14ac:dyDescent="0.3">
      <c r="C1" s="149" t="s">
        <v>109</v>
      </c>
      <c r="D1" s="149"/>
      <c r="E1" s="149"/>
      <c r="F1" s="149"/>
    </row>
    <row r="2" spans="1:8" ht="15.6" x14ac:dyDescent="0.3">
      <c r="C2" s="149" t="s">
        <v>425</v>
      </c>
      <c r="D2" s="149"/>
      <c r="E2" s="149"/>
      <c r="F2" s="149"/>
    </row>
    <row r="3" spans="1:8" ht="15.6" x14ac:dyDescent="0.3">
      <c r="C3" s="26"/>
      <c r="D3" s="26"/>
      <c r="E3" s="150" t="s">
        <v>118</v>
      </c>
      <c r="F3" s="150"/>
    </row>
    <row r="4" spans="1:8" ht="12" customHeight="1" x14ac:dyDescent="0.25">
      <c r="C4" s="6"/>
      <c r="D4" s="6"/>
      <c r="E4" s="6"/>
      <c r="F4" s="6"/>
    </row>
    <row r="5" spans="1:8" ht="25.5" customHeight="1" x14ac:dyDescent="0.25">
      <c r="A5" s="151" t="s">
        <v>261</v>
      </c>
      <c r="B5" s="151"/>
      <c r="C5" s="151"/>
      <c r="D5" s="151"/>
      <c r="E5" s="151"/>
      <c r="F5" s="151"/>
    </row>
    <row r="6" spans="1:8" x14ac:dyDescent="0.25">
      <c r="A6" s="30"/>
      <c r="B6" s="30"/>
      <c r="C6" s="30"/>
      <c r="D6" s="30"/>
      <c r="E6" s="30"/>
      <c r="F6" s="30"/>
    </row>
    <row r="8" spans="1:8" ht="51.75" customHeight="1" x14ac:dyDescent="0.25">
      <c r="A8" s="8" t="s">
        <v>81</v>
      </c>
      <c r="B8" s="9" t="s">
        <v>264</v>
      </c>
      <c r="C8" s="8" t="s">
        <v>16</v>
      </c>
      <c r="D8" s="9" t="s">
        <v>49</v>
      </c>
      <c r="E8" s="8" t="s">
        <v>17</v>
      </c>
      <c r="F8" s="8" t="s">
        <v>29</v>
      </c>
    </row>
    <row r="9" spans="1:8" s="45" customFormat="1" ht="12" customHeight="1" x14ac:dyDescent="0.25">
      <c r="A9" s="10">
        <v>1</v>
      </c>
      <c r="B9" s="11" t="s">
        <v>18</v>
      </c>
      <c r="C9" s="8">
        <v>3</v>
      </c>
      <c r="D9" s="9">
        <v>4</v>
      </c>
      <c r="E9" s="8">
        <v>5</v>
      </c>
      <c r="F9" s="8">
        <v>6</v>
      </c>
    </row>
    <row r="10" spans="1:8" s="45" customFormat="1" ht="20.100000000000001" customHeight="1" x14ac:dyDescent="0.25">
      <c r="A10" s="12">
        <v>1</v>
      </c>
      <c r="B10" s="9" t="s">
        <v>57</v>
      </c>
      <c r="C10" s="13" t="s">
        <v>58</v>
      </c>
      <c r="D10" s="9"/>
      <c r="E10" s="44">
        <f>SUM(+E11+E13+E15)</f>
        <v>546</v>
      </c>
      <c r="F10" s="44">
        <f>SUM(+F11+F13+F15)</f>
        <v>381.7</v>
      </c>
      <c r="G10" s="54"/>
      <c r="H10" s="117"/>
    </row>
    <row r="11" spans="1:8" s="45" customFormat="1" ht="12.6" customHeight="1" x14ac:dyDescent="0.3">
      <c r="A11" s="12">
        <v>2</v>
      </c>
      <c r="B11" s="14" t="s">
        <v>119</v>
      </c>
      <c r="C11" s="111" t="s">
        <v>341</v>
      </c>
      <c r="D11" s="14" t="s">
        <v>117</v>
      </c>
      <c r="E11" s="118">
        <f>+E12</f>
        <v>452.5</v>
      </c>
      <c r="F11" s="118">
        <f>+F12</f>
        <v>379.3</v>
      </c>
      <c r="G11" s="54"/>
      <c r="H11" s="119"/>
    </row>
    <row r="12" spans="1:8" s="45" customFormat="1" ht="12.6" customHeight="1" x14ac:dyDescent="0.25">
      <c r="A12" s="12">
        <v>3</v>
      </c>
      <c r="B12" s="14"/>
      <c r="C12" s="108" t="s">
        <v>114</v>
      </c>
      <c r="D12" s="9"/>
      <c r="E12" s="43">
        <v>452.5</v>
      </c>
      <c r="F12" s="43">
        <v>379.3</v>
      </c>
      <c r="G12" s="54"/>
      <c r="H12" s="54"/>
    </row>
    <row r="13" spans="1:8" s="45" customFormat="1" ht="12.6" customHeight="1" x14ac:dyDescent="0.25">
      <c r="A13" s="12">
        <v>4</v>
      </c>
      <c r="B13" s="14" t="s">
        <v>120</v>
      </c>
      <c r="C13" s="111" t="s">
        <v>122</v>
      </c>
      <c r="D13" s="14" t="s">
        <v>117</v>
      </c>
      <c r="E13" s="118">
        <f>+E14</f>
        <v>91</v>
      </c>
      <c r="F13" s="118">
        <f>+F14</f>
        <v>0</v>
      </c>
      <c r="G13" s="54"/>
      <c r="H13" s="54"/>
    </row>
    <row r="14" spans="1:8" s="45" customFormat="1" ht="12.6" customHeight="1" x14ac:dyDescent="0.25">
      <c r="A14" s="12">
        <v>5</v>
      </c>
      <c r="B14" s="14"/>
      <c r="C14" s="108" t="s">
        <v>114</v>
      </c>
      <c r="D14" s="9"/>
      <c r="E14" s="43">
        <v>91</v>
      </c>
      <c r="F14" s="43"/>
      <c r="G14" s="54"/>
      <c r="H14" s="54"/>
    </row>
    <row r="15" spans="1:8" s="45" customFormat="1" ht="12.6" customHeight="1" x14ac:dyDescent="0.25">
      <c r="A15" s="12">
        <v>6</v>
      </c>
      <c r="B15" s="14" t="s">
        <v>121</v>
      </c>
      <c r="C15" s="111" t="s">
        <v>123</v>
      </c>
      <c r="D15" s="14" t="s">
        <v>59</v>
      </c>
      <c r="E15" s="118">
        <f>+E16</f>
        <v>2.5</v>
      </c>
      <c r="F15" s="118">
        <f>+F16</f>
        <v>2.4</v>
      </c>
      <c r="G15" s="54"/>
      <c r="H15" s="54"/>
    </row>
    <row r="16" spans="1:8" s="45" customFormat="1" ht="12.6" customHeight="1" x14ac:dyDescent="0.25">
      <c r="A16" s="12">
        <v>7</v>
      </c>
      <c r="B16" s="9"/>
      <c r="C16" s="35" t="s">
        <v>3</v>
      </c>
      <c r="D16" s="9"/>
      <c r="E16" s="43">
        <v>2.5</v>
      </c>
      <c r="F16" s="43">
        <v>2.4</v>
      </c>
      <c r="G16" s="54"/>
      <c r="H16" s="54"/>
    </row>
    <row r="17" spans="1:8" ht="18" customHeight="1" x14ac:dyDescent="0.25">
      <c r="A17" s="12">
        <v>8</v>
      </c>
      <c r="B17" s="11" t="s">
        <v>21</v>
      </c>
      <c r="C17" s="17" t="s">
        <v>22</v>
      </c>
      <c r="D17" s="1"/>
      <c r="E17" s="44">
        <f>SUM(E18+E25+E27+E29+E42+E44)</f>
        <v>3192.2000000000003</v>
      </c>
      <c r="F17" s="44">
        <f>SUM(F18+F25+F27+F29+F42+F44)</f>
        <v>1533.2</v>
      </c>
      <c r="G17" s="4"/>
      <c r="H17" s="4"/>
    </row>
    <row r="18" spans="1:8" ht="24.9" customHeight="1" x14ac:dyDescent="0.25">
      <c r="A18" s="12">
        <v>9</v>
      </c>
      <c r="B18" s="1" t="s">
        <v>124</v>
      </c>
      <c r="C18" s="111" t="s">
        <v>125</v>
      </c>
      <c r="D18" s="18" t="s">
        <v>24</v>
      </c>
      <c r="E18" s="34">
        <f>SUM(E19:E23)</f>
        <v>1043.3000000000002</v>
      </c>
      <c r="F18" s="34">
        <f>SUM(F19:F23)</f>
        <v>655.9</v>
      </c>
      <c r="G18" s="4"/>
      <c r="H18" s="4"/>
    </row>
    <row r="19" spans="1:8" ht="12.6" customHeight="1" x14ac:dyDescent="0.25">
      <c r="A19" s="12">
        <v>10</v>
      </c>
      <c r="B19" s="1"/>
      <c r="C19" s="16" t="s">
        <v>1</v>
      </c>
      <c r="D19" s="18"/>
      <c r="E19" s="19">
        <f>254.3+60.6+60</f>
        <v>374.90000000000003</v>
      </c>
      <c r="F19" s="19">
        <f>247.5+57.7+59</f>
        <v>364.2</v>
      </c>
      <c r="G19" s="4"/>
      <c r="H19" s="4"/>
    </row>
    <row r="20" spans="1:8" ht="12.6" customHeight="1" x14ac:dyDescent="0.25">
      <c r="A20" s="12">
        <v>11</v>
      </c>
      <c r="B20" s="1"/>
      <c r="C20" s="107" t="s">
        <v>2</v>
      </c>
      <c r="D20" s="18"/>
      <c r="E20" s="19">
        <v>151.9</v>
      </c>
      <c r="F20" s="19">
        <v>120.3</v>
      </c>
      <c r="G20" s="4"/>
      <c r="H20" s="4"/>
    </row>
    <row r="21" spans="1:8" ht="12.6" customHeight="1" x14ac:dyDescent="0.25">
      <c r="A21" s="12">
        <v>12</v>
      </c>
      <c r="B21" s="1"/>
      <c r="C21" s="107" t="s">
        <v>15</v>
      </c>
      <c r="D21" s="18"/>
      <c r="E21" s="19">
        <v>102.5</v>
      </c>
      <c r="F21" s="19">
        <v>78</v>
      </c>
      <c r="G21" s="4"/>
      <c r="H21" s="4"/>
    </row>
    <row r="22" spans="1:8" ht="12.6" customHeight="1" x14ac:dyDescent="0.25">
      <c r="A22" s="12">
        <v>13</v>
      </c>
      <c r="B22" s="1"/>
      <c r="C22" s="107" t="s">
        <v>19</v>
      </c>
      <c r="D22" s="18"/>
      <c r="E22" s="19">
        <v>102.5</v>
      </c>
      <c r="F22" s="19">
        <v>93.4</v>
      </c>
      <c r="G22" s="4"/>
      <c r="H22" s="4"/>
    </row>
    <row r="23" spans="1:8" ht="12.6" customHeight="1" x14ac:dyDescent="0.25">
      <c r="A23" s="145">
        <v>14</v>
      </c>
      <c r="B23" s="147"/>
      <c r="C23" s="35" t="s">
        <v>3</v>
      </c>
      <c r="D23" s="18"/>
      <c r="E23" s="19">
        <f>271.5+40</f>
        <v>311.5</v>
      </c>
      <c r="F23" s="19"/>
      <c r="G23" s="4"/>
      <c r="H23" s="4"/>
    </row>
    <row r="24" spans="1:8" ht="26.4" x14ac:dyDescent="0.25">
      <c r="A24" s="146"/>
      <c r="B24" s="148"/>
      <c r="C24" s="16" t="s">
        <v>126</v>
      </c>
      <c r="D24" s="18"/>
      <c r="E24" s="19">
        <v>35</v>
      </c>
      <c r="F24" s="19"/>
      <c r="G24" s="4"/>
      <c r="H24" s="4"/>
    </row>
    <row r="25" spans="1:8" ht="24.9" customHeight="1" x14ac:dyDescent="0.25">
      <c r="A25" s="12">
        <v>15</v>
      </c>
      <c r="B25" s="1" t="s">
        <v>127</v>
      </c>
      <c r="C25" s="111" t="s">
        <v>128</v>
      </c>
      <c r="D25" s="1" t="s">
        <v>23</v>
      </c>
      <c r="E25" s="34">
        <f>SUM(E26:E26)</f>
        <v>828.8</v>
      </c>
      <c r="F25" s="34">
        <f>SUM(F26:F26)</f>
        <v>797</v>
      </c>
      <c r="G25" s="4"/>
      <c r="H25" s="4"/>
    </row>
    <row r="26" spans="1:8" ht="12.6" customHeight="1" x14ac:dyDescent="0.25">
      <c r="A26" s="12">
        <v>16</v>
      </c>
      <c r="B26" s="1"/>
      <c r="C26" s="16" t="s">
        <v>94</v>
      </c>
      <c r="D26" s="1"/>
      <c r="E26" s="19">
        <v>828.8</v>
      </c>
      <c r="F26" s="19">
        <v>797</v>
      </c>
      <c r="G26" s="4"/>
      <c r="H26" s="4"/>
    </row>
    <row r="27" spans="1:8" ht="26.4" x14ac:dyDescent="0.25">
      <c r="A27" s="12">
        <v>17</v>
      </c>
      <c r="B27" s="1" t="s">
        <v>129</v>
      </c>
      <c r="C27" s="111" t="s">
        <v>398</v>
      </c>
      <c r="D27" s="1" t="s">
        <v>23</v>
      </c>
      <c r="E27" s="34">
        <f>SUM(E28:E28)</f>
        <v>55</v>
      </c>
      <c r="F27" s="34">
        <f>SUM(F28:F28)</f>
        <v>54.2</v>
      </c>
      <c r="G27" s="4"/>
      <c r="H27" s="4"/>
    </row>
    <row r="28" spans="1:8" x14ac:dyDescent="0.25">
      <c r="A28" s="12">
        <v>18</v>
      </c>
      <c r="B28" s="1"/>
      <c r="C28" s="16" t="s">
        <v>94</v>
      </c>
      <c r="D28" s="1"/>
      <c r="E28" s="19">
        <v>55</v>
      </c>
      <c r="F28" s="19">
        <v>54.2</v>
      </c>
      <c r="G28" s="4"/>
      <c r="H28" s="4"/>
    </row>
    <row r="29" spans="1:8" ht="45.6" customHeight="1" x14ac:dyDescent="0.25">
      <c r="A29" s="12">
        <v>19</v>
      </c>
      <c r="B29" s="1" t="s">
        <v>132</v>
      </c>
      <c r="C29" s="111" t="s">
        <v>130</v>
      </c>
      <c r="D29" s="14" t="s">
        <v>131</v>
      </c>
      <c r="E29" s="34">
        <f>SUM(E30:E41)</f>
        <v>387.9</v>
      </c>
      <c r="F29" s="34">
        <f>SUM(F30:F41)</f>
        <v>10.600000000000001</v>
      </c>
      <c r="G29" s="4"/>
      <c r="H29" s="4"/>
    </row>
    <row r="30" spans="1:8" ht="12.6" customHeight="1" x14ac:dyDescent="0.25">
      <c r="A30" s="12">
        <v>20</v>
      </c>
      <c r="B30" s="1"/>
      <c r="C30" s="35" t="s">
        <v>3</v>
      </c>
      <c r="D30" s="14"/>
      <c r="E30" s="19">
        <v>6</v>
      </c>
      <c r="F30" s="19"/>
      <c r="G30" s="4"/>
      <c r="H30" s="4"/>
    </row>
    <row r="31" spans="1:8" ht="12.6" customHeight="1" x14ac:dyDescent="0.25">
      <c r="A31" s="12">
        <v>21</v>
      </c>
      <c r="B31" s="1"/>
      <c r="C31" s="15" t="s">
        <v>8</v>
      </c>
      <c r="D31" s="1"/>
      <c r="E31" s="19">
        <f>197.5+20.7-10.2</f>
        <v>208</v>
      </c>
      <c r="F31" s="19">
        <v>5.7</v>
      </c>
      <c r="G31" s="4"/>
      <c r="H31" s="4"/>
    </row>
    <row r="32" spans="1:8" ht="12.6" customHeight="1" x14ac:dyDescent="0.25">
      <c r="A32" s="12">
        <v>22</v>
      </c>
      <c r="B32" s="1"/>
      <c r="C32" s="15" t="s">
        <v>4</v>
      </c>
      <c r="D32" s="1"/>
      <c r="E32" s="19">
        <f>34.6+3</f>
        <v>37.6</v>
      </c>
      <c r="F32" s="19">
        <v>1</v>
      </c>
      <c r="G32" s="4"/>
      <c r="H32" s="4"/>
    </row>
    <row r="33" spans="1:8" ht="12.6" customHeight="1" x14ac:dyDescent="0.25">
      <c r="A33" s="12">
        <v>23</v>
      </c>
      <c r="B33" s="1"/>
      <c r="C33" s="15" t="s">
        <v>5</v>
      </c>
      <c r="D33" s="1"/>
      <c r="E33" s="19">
        <v>8</v>
      </c>
      <c r="F33" s="19">
        <v>0.2</v>
      </c>
      <c r="G33" s="4"/>
      <c r="H33" s="4"/>
    </row>
    <row r="34" spans="1:8" ht="12.6" customHeight="1" x14ac:dyDescent="0.25">
      <c r="A34" s="12">
        <v>24</v>
      </c>
      <c r="B34" s="1"/>
      <c r="C34" s="15" t="s">
        <v>7</v>
      </c>
      <c r="D34" s="1"/>
      <c r="E34" s="19">
        <v>22.7</v>
      </c>
      <c r="F34" s="19">
        <v>0.7</v>
      </c>
      <c r="G34" s="4"/>
      <c r="H34" s="4"/>
    </row>
    <row r="35" spans="1:8" ht="12.6" customHeight="1" x14ac:dyDescent="0.25">
      <c r="A35" s="12">
        <v>25</v>
      </c>
      <c r="B35" s="1"/>
      <c r="C35" s="15" t="s">
        <v>6</v>
      </c>
      <c r="D35" s="1"/>
      <c r="E35" s="19">
        <v>19.2</v>
      </c>
      <c r="F35" s="19">
        <v>0.6</v>
      </c>
      <c r="G35" s="4"/>
      <c r="H35" s="4"/>
    </row>
    <row r="36" spans="1:8" ht="12.6" customHeight="1" x14ac:dyDescent="0.25">
      <c r="A36" s="12">
        <v>26</v>
      </c>
      <c r="B36" s="1"/>
      <c r="C36" s="15" t="s">
        <v>9</v>
      </c>
      <c r="D36" s="1"/>
      <c r="E36" s="19">
        <v>20.9</v>
      </c>
      <c r="F36" s="19">
        <v>0.6</v>
      </c>
      <c r="G36" s="4"/>
      <c r="H36" s="4"/>
    </row>
    <row r="37" spans="1:8" ht="12.6" customHeight="1" x14ac:dyDescent="0.25">
      <c r="A37" s="12">
        <v>27</v>
      </c>
      <c r="B37" s="1"/>
      <c r="C37" s="16" t="s">
        <v>10</v>
      </c>
      <c r="D37" s="1"/>
      <c r="E37" s="19">
        <v>10.3</v>
      </c>
      <c r="F37" s="19">
        <v>0.3</v>
      </c>
      <c r="G37" s="4"/>
      <c r="H37" s="4"/>
    </row>
    <row r="38" spans="1:8" ht="12.6" customHeight="1" x14ac:dyDescent="0.25">
      <c r="A38" s="12">
        <v>28</v>
      </c>
      <c r="B38" s="1"/>
      <c r="C38" s="15" t="s">
        <v>12</v>
      </c>
      <c r="D38" s="1"/>
      <c r="E38" s="19">
        <v>8.1</v>
      </c>
      <c r="F38" s="19">
        <v>0.2</v>
      </c>
      <c r="G38" s="4"/>
      <c r="H38" s="4"/>
    </row>
    <row r="39" spans="1:8" ht="12.6" customHeight="1" x14ac:dyDescent="0.25">
      <c r="A39" s="12">
        <v>29</v>
      </c>
      <c r="B39" s="1"/>
      <c r="C39" s="15" t="s">
        <v>11</v>
      </c>
      <c r="D39" s="1"/>
      <c r="E39" s="19">
        <v>18.399999999999999</v>
      </c>
      <c r="F39" s="19">
        <v>0.5</v>
      </c>
      <c r="G39" s="4"/>
      <c r="H39" s="4"/>
    </row>
    <row r="40" spans="1:8" ht="12.6" customHeight="1" x14ac:dyDescent="0.25">
      <c r="A40" s="12">
        <v>30</v>
      </c>
      <c r="B40" s="1"/>
      <c r="C40" s="15" t="s">
        <v>13</v>
      </c>
      <c r="D40" s="1"/>
      <c r="E40" s="19">
        <v>10.3</v>
      </c>
      <c r="F40" s="19">
        <v>0.3</v>
      </c>
      <c r="G40" s="4"/>
      <c r="H40" s="4"/>
    </row>
    <row r="41" spans="1:8" ht="12.6" customHeight="1" x14ac:dyDescent="0.25">
      <c r="A41" s="12">
        <v>31</v>
      </c>
      <c r="B41" s="1"/>
      <c r="C41" s="15" t="s">
        <v>14</v>
      </c>
      <c r="D41" s="1"/>
      <c r="E41" s="19">
        <v>18.399999999999999</v>
      </c>
      <c r="F41" s="19">
        <v>0.5</v>
      </c>
      <c r="G41" s="4"/>
      <c r="H41" s="4"/>
    </row>
    <row r="42" spans="1:8" ht="29.25" customHeight="1" x14ac:dyDescent="0.25">
      <c r="A42" s="12">
        <v>32</v>
      </c>
      <c r="B42" s="1" t="s">
        <v>134</v>
      </c>
      <c r="C42" s="120" t="s">
        <v>133</v>
      </c>
      <c r="D42" s="1" t="s">
        <v>30</v>
      </c>
      <c r="E42" s="34">
        <f>+E43</f>
        <v>868.30000000000007</v>
      </c>
      <c r="F42" s="34">
        <f>+F43</f>
        <v>15.5</v>
      </c>
      <c r="G42" s="4"/>
      <c r="H42" s="4"/>
    </row>
    <row r="43" spans="1:8" ht="12.6" customHeight="1" x14ac:dyDescent="0.25">
      <c r="A43" s="12">
        <v>33</v>
      </c>
      <c r="B43" s="1"/>
      <c r="C43" s="35" t="s">
        <v>3</v>
      </c>
      <c r="D43" s="1"/>
      <c r="E43" s="19">
        <f>797.6+70.7</f>
        <v>868.30000000000007</v>
      </c>
      <c r="F43" s="19">
        <v>15.5</v>
      </c>
      <c r="G43" s="4"/>
      <c r="H43" s="4"/>
    </row>
    <row r="44" spans="1:8" ht="24.9" customHeight="1" x14ac:dyDescent="0.25">
      <c r="A44" s="12">
        <v>34</v>
      </c>
      <c r="B44" s="1" t="s">
        <v>351</v>
      </c>
      <c r="C44" s="120" t="s">
        <v>135</v>
      </c>
      <c r="D44" s="1" t="s">
        <v>62</v>
      </c>
      <c r="E44" s="34">
        <f>+E45</f>
        <v>8.9</v>
      </c>
      <c r="F44" s="34">
        <f>+F45</f>
        <v>0</v>
      </c>
      <c r="G44" s="4"/>
      <c r="H44" s="4"/>
    </row>
    <row r="45" spans="1:8" ht="12.6" customHeight="1" x14ac:dyDescent="0.25">
      <c r="A45" s="12">
        <v>35</v>
      </c>
      <c r="B45" s="1"/>
      <c r="C45" s="35" t="s">
        <v>3</v>
      </c>
      <c r="D45" s="1"/>
      <c r="E45" s="19">
        <v>8.9</v>
      </c>
      <c r="F45" s="19"/>
      <c r="G45" s="4"/>
      <c r="H45" s="4"/>
    </row>
    <row r="46" spans="1:8" ht="18" customHeight="1" x14ac:dyDescent="0.25">
      <c r="A46" s="12">
        <v>36</v>
      </c>
      <c r="B46" s="11" t="s">
        <v>31</v>
      </c>
      <c r="C46" s="17" t="s">
        <v>32</v>
      </c>
      <c r="D46" s="1"/>
      <c r="E46" s="44">
        <f>+E47+E59+E62</f>
        <v>570.80000000000007</v>
      </c>
      <c r="F46" s="44">
        <f>+F47+F59+F62</f>
        <v>194.29999999999998</v>
      </c>
      <c r="G46" s="4"/>
      <c r="H46" s="4"/>
    </row>
    <row r="47" spans="1:8" ht="12.6" customHeight="1" x14ac:dyDescent="0.25">
      <c r="A47" s="12">
        <v>37</v>
      </c>
      <c r="B47" s="1" t="s">
        <v>136</v>
      </c>
      <c r="C47" s="120" t="s">
        <v>137</v>
      </c>
      <c r="D47" s="1" t="s">
        <v>138</v>
      </c>
      <c r="E47" s="34">
        <f>SUM(E48:E58)</f>
        <v>190.70000000000005</v>
      </c>
      <c r="F47" s="34">
        <f>SUM(F48:F58)</f>
        <v>183.39999999999998</v>
      </c>
      <c r="G47" s="4"/>
      <c r="H47" s="4"/>
    </row>
    <row r="48" spans="1:8" ht="12.6" customHeight="1" x14ac:dyDescent="0.25">
      <c r="A48" s="12">
        <v>38</v>
      </c>
      <c r="B48" s="1"/>
      <c r="C48" s="35" t="s">
        <v>3</v>
      </c>
      <c r="D48" s="1"/>
      <c r="E48" s="19">
        <v>77.900000000000006</v>
      </c>
      <c r="F48" s="19">
        <v>72.099999999999994</v>
      </c>
      <c r="G48" s="4"/>
      <c r="H48" s="4"/>
    </row>
    <row r="49" spans="1:8" ht="12.6" customHeight="1" x14ac:dyDescent="0.25">
      <c r="A49" s="12">
        <v>39</v>
      </c>
      <c r="B49" s="1"/>
      <c r="C49" s="15" t="s">
        <v>4</v>
      </c>
      <c r="D49" s="1"/>
      <c r="E49" s="19">
        <v>11.9</v>
      </c>
      <c r="F49" s="19">
        <v>11.7</v>
      </c>
      <c r="G49" s="4"/>
      <c r="H49" s="4"/>
    </row>
    <row r="50" spans="1:8" ht="12.6" customHeight="1" x14ac:dyDescent="0.25">
      <c r="A50" s="12">
        <v>40</v>
      </c>
      <c r="B50" s="1"/>
      <c r="C50" s="15" t="s">
        <v>5</v>
      </c>
      <c r="D50" s="1"/>
      <c r="E50" s="19">
        <v>8.9</v>
      </c>
      <c r="F50" s="19">
        <v>8.8000000000000007</v>
      </c>
      <c r="G50" s="4"/>
      <c r="H50" s="4"/>
    </row>
    <row r="51" spans="1:8" ht="12.6" customHeight="1" x14ac:dyDescent="0.25">
      <c r="A51" s="12">
        <v>41</v>
      </c>
      <c r="B51" s="1"/>
      <c r="C51" s="15" t="s">
        <v>7</v>
      </c>
      <c r="D51" s="1"/>
      <c r="E51" s="19">
        <v>12.8</v>
      </c>
      <c r="F51" s="19">
        <v>12.6</v>
      </c>
      <c r="G51" s="4"/>
      <c r="H51" s="4"/>
    </row>
    <row r="52" spans="1:8" ht="12.6" customHeight="1" x14ac:dyDescent="0.25">
      <c r="A52" s="12">
        <v>42</v>
      </c>
      <c r="B52" s="1"/>
      <c r="C52" s="15" t="s">
        <v>6</v>
      </c>
      <c r="D52" s="1"/>
      <c r="E52" s="19">
        <v>15.9</v>
      </c>
      <c r="F52" s="19">
        <v>15.7</v>
      </c>
      <c r="G52" s="4"/>
      <c r="H52" s="4"/>
    </row>
    <row r="53" spans="1:8" ht="12.6" customHeight="1" x14ac:dyDescent="0.25">
      <c r="A53" s="12">
        <v>43</v>
      </c>
      <c r="B53" s="1"/>
      <c r="C53" s="15" t="s">
        <v>9</v>
      </c>
      <c r="D53" s="1"/>
      <c r="E53" s="19">
        <v>12.8</v>
      </c>
      <c r="F53" s="19">
        <v>12.6</v>
      </c>
      <c r="G53" s="4"/>
      <c r="H53" s="4"/>
    </row>
    <row r="54" spans="1:8" ht="12.6" customHeight="1" x14ac:dyDescent="0.25">
      <c r="A54" s="12">
        <v>44</v>
      </c>
      <c r="B54" s="1"/>
      <c r="C54" s="16" t="s">
        <v>10</v>
      </c>
      <c r="D54" s="1"/>
      <c r="E54" s="19">
        <v>9</v>
      </c>
      <c r="F54" s="19">
        <v>8.9</v>
      </c>
      <c r="G54" s="4"/>
      <c r="H54" s="4"/>
    </row>
    <row r="55" spans="1:8" ht="12.6" customHeight="1" x14ac:dyDescent="0.25">
      <c r="A55" s="12">
        <v>45</v>
      </c>
      <c r="B55" s="1"/>
      <c r="C55" s="15" t="s">
        <v>12</v>
      </c>
      <c r="D55" s="1"/>
      <c r="E55" s="19">
        <v>8.3000000000000007</v>
      </c>
      <c r="F55" s="19">
        <v>8.1999999999999993</v>
      </c>
      <c r="G55" s="4"/>
      <c r="H55" s="4"/>
    </row>
    <row r="56" spans="1:8" ht="12.6" customHeight="1" x14ac:dyDescent="0.25">
      <c r="A56" s="12">
        <v>46</v>
      </c>
      <c r="B56" s="1"/>
      <c r="C56" s="15" t="s">
        <v>11</v>
      </c>
      <c r="D56" s="1"/>
      <c r="E56" s="19">
        <v>11.8</v>
      </c>
      <c r="F56" s="19">
        <v>11.7</v>
      </c>
      <c r="G56" s="4"/>
      <c r="H56" s="4"/>
    </row>
    <row r="57" spans="1:8" ht="12.6" customHeight="1" x14ac:dyDescent="0.25">
      <c r="A57" s="12">
        <v>47</v>
      </c>
      <c r="B57" s="1"/>
      <c r="C57" s="15" t="s">
        <v>13</v>
      </c>
      <c r="D57" s="1"/>
      <c r="E57" s="19">
        <v>9.5</v>
      </c>
      <c r="F57" s="19">
        <v>9.4</v>
      </c>
      <c r="G57" s="4"/>
      <c r="H57" s="4"/>
    </row>
    <row r="58" spans="1:8" ht="12.6" customHeight="1" x14ac:dyDescent="0.25">
      <c r="A58" s="12">
        <v>48</v>
      </c>
      <c r="B58" s="1"/>
      <c r="C58" s="15" t="s">
        <v>14</v>
      </c>
      <c r="D58" s="1"/>
      <c r="E58" s="19">
        <v>11.9</v>
      </c>
      <c r="F58" s="19">
        <v>11.7</v>
      </c>
      <c r="G58" s="4"/>
      <c r="H58" s="4"/>
    </row>
    <row r="59" spans="1:8" ht="72" customHeight="1" x14ac:dyDescent="0.25">
      <c r="A59" s="145">
        <v>49</v>
      </c>
      <c r="B59" s="147" t="s">
        <v>139</v>
      </c>
      <c r="C59" s="111" t="s">
        <v>172</v>
      </c>
      <c r="D59" s="147"/>
      <c r="E59" s="34">
        <f>+E61</f>
        <v>358</v>
      </c>
      <c r="F59" s="34">
        <f>+F61</f>
        <v>0</v>
      </c>
      <c r="G59" s="4"/>
      <c r="H59" s="4"/>
    </row>
    <row r="60" spans="1:8" ht="12.6" customHeight="1" x14ac:dyDescent="0.25">
      <c r="A60" s="146"/>
      <c r="B60" s="148"/>
      <c r="C60" s="111" t="s">
        <v>140</v>
      </c>
      <c r="D60" s="148"/>
      <c r="E60" s="34">
        <v>10</v>
      </c>
      <c r="F60" s="34"/>
      <c r="G60" s="4"/>
      <c r="H60" s="4"/>
    </row>
    <row r="61" spans="1:8" ht="12.6" customHeight="1" x14ac:dyDescent="0.25">
      <c r="A61" s="12">
        <v>50</v>
      </c>
      <c r="B61" s="1"/>
      <c r="C61" s="35" t="s">
        <v>3</v>
      </c>
      <c r="D61" s="1" t="s">
        <v>141</v>
      </c>
      <c r="E61" s="19">
        <v>358</v>
      </c>
      <c r="F61" s="19"/>
      <c r="G61" s="4"/>
      <c r="H61" s="4"/>
    </row>
    <row r="62" spans="1:8" ht="12.6" customHeight="1" x14ac:dyDescent="0.25">
      <c r="A62" s="12">
        <v>51</v>
      </c>
      <c r="B62" s="1"/>
      <c r="C62" s="110" t="s">
        <v>142</v>
      </c>
      <c r="D62" s="1" t="s">
        <v>143</v>
      </c>
      <c r="E62" s="19">
        <f>+E63</f>
        <v>22.1</v>
      </c>
      <c r="F62" s="19">
        <f>+F63</f>
        <v>10.9</v>
      </c>
      <c r="G62" s="4"/>
      <c r="H62" s="4"/>
    </row>
    <row r="63" spans="1:8" ht="12.6" customHeight="1" x14ac:dyDescent="0.25">
      <c r="A63" s="12">
        <v>52</v>
      </c>
      <c r="B63" s="1"/>
      <c r="C63" s="15" t="s">
        <v>3</v>
      </c>
      <c r="D63" s="1"/>
      <c r="E63" s="19">
        <v>22.1</v>
      </c>
      <c r="F63" s="19">
        <v>10.9</v>
      </c>
      <c r="G63" s="4"/>
      <c r="H63" s="4"/>
    </row>
    <row r="64" spans="1:8" ht="18" customHeight="1" x14ac:dyDescent="0.25">
      <c r="A64" s="12">
        <v>53</v>
      </c>
      <c r="B64" s="11" t="s">
        <v>25</v>
      </c>
      <c r="C64" s="17" t="s">
        <v>26</v>
      </c>
      <c r="D64" s="1"/>
      <c r="E64" s="44">
        <f>SUM(E65+E67+E69+E71+E73+E75+E77+E79+E81+E83+E85+E87+E100+E102)</f>
        <v>1557.9999999999998</v>
      </c>
      <c r="F64" s="44">
        <f>SUM(F65+F67+F69+F71+F73+F75+F77+F79+F81+F83+F85+F87+F100)</f>
        <v>1427</v>
      </c>
      <c r="G64" s="4"/>
      <c r="H64" s="4"/>
    </row>
    <row r="65" spans="1:8" ht="12.6" customHeight="1" x14ac:dyDescent="0.25">
      <c r="A65" s="12">
        <v>54</v>
      </c>
      <c r="B65" s="1" t="s">
        <v>33</v>
      </c>
      <c r="C65" s="120" t="s">
        <v>144</v>
      </c>
      <c r="D65" s="1" t="s">
        <v>28</v>
      </c>
      <c r="E65" s="34">
        <f>+E66</f>
        <v>1176.9000000000001</v>
      </c>
      <c r="F65" s="34">
        <f>+F66</f>
        <v>1075.4000000000001</v>
      </c>
      <c r="G65" s="4"/>
      <c r="H65" s="4"/>
    </row>
    <row r="66" spans="1:8" ht="12.6" customHeight="1" x14ac:dyDescent="0.25">
      <c r="A66" s="12">
        <v>55</v>
      </c>
      <c r="B66" s="113"/>
      <c r="C66" s="15" t="s">
        <v>27</v>
      </c>
      <c r="D66" s="18"/>
      <c r="E66" s="19">
        <v>1176.9000000000001</v>
      </c>
      <c r="F66" s="19">
        <v>1075.4000000000001</v>
      </c>
      <c r="G66" s="4"/>
      <c r="H66" s="4"/>
    </row>
    <row r="67" spans="1:8" ht="12.6" customHeight="1" x14ac:dyDescent="0.25">
      <c r="A67" s="12">
        <v>56</v>
      </c>
      <c r="B67" s="1" t="s">
        <v>34</v>
      </c>
      <c r="C67" s="111" t="s">
        <v>145</v>
      </c>
      <c r="D67" s="1" t="s">
        <v>146</v>
      </c>
      <c r="E67" s="34">
        <f>SUM(E68:E68)</f>
        <v>0.8</v>
      </c>
      <c r="F67" s="34">
        <f>SUM(F68:F68)</f>
        <v>0.8</v>
      </c>
      <c r="G67" s="4"/>
      <c r="H67" s="4"/>
    </row>
    <row r="68" spans="1:8" ht="12.6" customHeight="1" x14ac:dyDescent="0.25">
      <c r="A68" s="12">
        <v>57</v>
      </c>
      <c r="B68" s="1"/>
      <c r="C68" s="35" t="s">
        <v>3</v>
      </c>
      <c r="D68" s="1"/>
      <c r="E68" s="19">
        <v>0.8</v>
      </c>
      <c r="F68" s="19">
        <v>0.8</v>
      </c>
      <c r="G68" s="4"/>
      <c r="H68" s="4"/>
    </row>
    <row r="69" spans="1:8" ht="12.6" customHeight="1" x14ac:dyDescent="0.25">
      <c r="A69" s="12">
        <v>58</v>
      </c>
      <c r="B69" s="14" t="s">
        <v>35</v>
      </c>
      <c r="C69" s="111" t="s">
        <v>147</v>
      </c>
      <c r="D69" s="1" t="s">
        <v>146</v>
      </c>
      <c r="E69" s="118">
        <f>+E70</f>
        <v>46.7</v>
      </c>
      <c r="F69" s="118">
        <f>+F70</f>
        <v>40.9</v>
      </c>
      <c r="G69" s="4"/>
      <c r="H69" s="4"/>
    </row>
    <row r="70" spans="1:8" ht="12.6" customHeight="1" x14ac:dyDescent="0.25">
      <c r="A70" s="12">
        <v>59</v>
      </c>
      <c r="B70" s="1"/>
      <c r="C70" s="35" t="s">
        <v>3</v>
      </c>
      <c r="D70" s="1"/>
      <c r="E70" s="19">
        <v>46.7</v>
      </c>
      <c r="F70" s="19">
        <v>40.9</v>
      </c>
      <c r="G70" s="4"/>
      <c r="H70" s="4"/>
    </row>
    <row r="71" spans="1:8" ht="12.6" customHeight="1" x14ac:dyDescent="0.25">
      <c r="A71" s="12">
        <v>60</v>
      </c>
      <c r="B71" s="1" t="s">
        <v>36</v>
      </c>
      <c r="C71" s="111" t="s">
        <v>148</v>
      </c>
      <c r="D71" s="1" t="s">
        <v>37</v>
      </c>
      <c r="E71" s="118">
        <f>+E72</f>
        <v>33.700000000000003</v>
      </c>
      <c r="F71" s="118">
        <f>+F72</f>
        <v>32.299999999999997</v>
      </c>
      <c r="G71" s="4"/>
      <c r="H71" s="4"/>
    </row>
    <row r="72" spans="1:8" ht="12.6" customHeight="1" x14ac:dyDescent="0.25">
      <c r="A72" s="12">
        <v>61</v>
      </c>
      <c r="B72" s="1"/>
      <c r="C72" s="35" t="s">
        <v>3</v>
      </c>
      <c r="D72" s="1"/>
      <c r="E72" s="19">
        <v>33.700000000000003</v>
      </c>
      <c r="F72" s="19">
        <v>32.299999999999997</v>
      </c>
      <c r="G72" s="4"/>
      <c r="H72" s="4"/>
    </row>
    <row r="73" spans="1:8" ht="12.6" customHeight="1" x14ac:dyDescent="0.25">
      <c r="A73" s="12">
        <v>62</v>
      </c>
      <c r="B73" s="1" t="s">
        <v>106</v>
      </c>
      <c r="C73" s="111" t="s">
        <v>149</v>
      </c>
      <c r="D73" s="14" t="s">
        <v>150</v>
      </c>
      <c r="E73" s="118">
        <f>+E74</f>
        <v>46.5</v>
      </c>
      <c r="F73" s="118">
        <f>+F74</f>
        <v>38.700000000000003</v>
      </c>
      <c r="G73" s="4"/>
      <c r="H73" s="4"/>
    </row>
    <row r="74" spans="1:8" ht="12.6" customHeight="1" x14ac:dyDescent="0.25">
      <c r="A74" s="12">
        <v>63</v>
      </c>
      <c r="B74" s="1"/>
      <c r="C74" s="35" t="s">
        <v>3</v>
      </c>
      <c r="D74" s="1"/>
      <c r="E74" s="43">
        <v>46.5</v>
      </c>
      <c r="F74" s="43">
        <v>38.700000000000003</v>
      </c>
      <c r="G74" s="4"/>
      <c r="H74" s="4"/>
    </row>
    <row r="75" spans="1:8" ht="12.6" customHeight="1" x14ac:dyDescent="0.25">
      <c r="A75" s="12">
        <v>64</v>
      </c>
      <c r="B75" s="1" t="s">
        <v>151</v>
      </c>
      <c r="C75" s="120" t="s">
        <v>152</v>
      </c>
      <c r="D75" s="1" t="s">
        <v>37</v>
      </c>
      <c r="E75" s="118">
        <f>+E76</f>
        <v>8.5</v>
      </c>
      <c r="F75" s="118">
        <f>+F76</f>
        <v>8.4</v>
      </c>
      <c r="G75" s="4"/>
      <c r="H75" s="4"/>
    </row>
    <row r="76" spans="1:8" ht="12.6" customHeight="1" x14ac:dyDescent="0.25">
      <c r="A76" s="12">
        <v>65</v>
      </c>
      <c r="B76" s="1"/>
      <c r="C76" s="35" t="s">
        <v>3</v>
      </c>
      <c r="D76" s="1"/>
      <c r="E76" s="19">
        <v>8.5</v>
      </c>
      <c r="F76" s="19">
        <v>8.4</v>
      </c>
      <c r="G76" s="4"/>
      <c r="H76" s="4"/>
    </row>
    <row r="77" spans="1:8" ht="12.6" customHeight="1" x14ac:dyDescent="0.25">
      <c r="A77" s="12">
        <v>66</v>
      </c>
      <c r="B77" s="1" t="s">
        <v>153</v>
      </c>
      <c r="C77" s="111" t="s">
        <v>154</v>
      </c>
      <c r="D77" s="14" t="s">
        <v>155</v>
      </c>
      <c r="E77" s="34">
        <f>+E78</f>
        <v>30.1</v>
      </c>
      <c r="F77" s="34">
        <f>+F78</f>
        <v>26.5</v>
      </c>
      <c r="G77" s="4"/>
      <c r="H77" s="4"/>
    </row>
    <row r="78" spans="1:8" ht="12.6" customHeight="1" x14ac:dyDescent="0.25">
      <c r="A78" s="12">
        <v>67</v>
      </c>
      <c r="B78" s="1"/>
      <c r="C78" s="35" t="s">
        <v>3</v>
      </c>
      <c r="D78" s="1"/>
      <c r="E78" s="19">
        <v>30.1</v>
      </c>
      <c r="F78" s="19">
        <v>26.5</v>
      </c>
      <c r="G78" s="4"/>
      <c r="H78" s="4"/>
    </row>
    <row r="79" spans="1:8" ht="12.6" customHeight="1" x14ac:dyDescent="0.25">
      <c r="A79" s="12">
        <v>68</v>
      </c>
      <c r="B79" s="1" t="s">
        <v>332</v>
      </c>
      <c r="C79" s="120" t="s">
        <v>157</v>
      </c>
      <c r="D79" s="1" t="s">
        <v>37</v>
      </c>
      <c r="E79" s="34">
        <f>+E80</f>
        <v>20</v>
      </c>
      <c r="F79" s="34">
        <f>+F80</f>
        <v>19</v>
      </c>
      <c r="G79" s="4"/>
      <c r="H79" s="4"/>
    </row>
    <row r="80" spans="1:8" ht="12.6" customHeight="1" x14ac:dyDescent="0.25">
      <c r="A80" s="12">
        <v>69</v>
      </c>
      <c r="B80" s="1"/>
      <c r="C80" s="35" t="s">
        <v>3</v>
      </c>
      <c r="D80" s="1"/>
      <c r="E80" s="19">
        <f>19.8+0.2</f>
        <v>20</v>
      </c>
      <c r="F80" s="19">
        <f>18.8+0.2</f>
        <v>19</v>
      </c>
      <c r="G80" s="4"/>
      <c r="H80" s="4"/>
    </row>
    <row r="81" spans="1:8" ht="12.6" customHeight="1" x14ac:dyDescent="0.25">
      <c r="A81" s="12">
        <v>70</v>
      </c>
      <c r="B81" s="1" t="s">
        <v>156</v>
      </c>
      <c r="C81" s="111" t="s">
        <v>159</v>
      </c>
      <c r="D81" s="1" t="s">
        <v>37</v>
      </c>
      <c r="E81" s="34">
        <f>+E82</f>
        <v>14.5</v>
      </c>
      <c r="F81" s="34">
        <f>+F82</f>
        <v>13.8</v>
      </c>
      <c r="G81" s="4"/>
      <c r="H81" s="4"/>
    </row>
    <row r="82" spans="1:8" ht="12.6" customHeight="1" x14ac:dyDescent="0.25">
      <c r="A82" s="12">
        <v>71</v>
      </c>
      <c r="B82" s="1"/>
      <c r="C82" s="35" t="s">
        <v>3</v>
      </c>
      <c r="D82" s="1"/>
      <c r="E82" s="19">
        <v>14.5</v>
      </c>
      <c r="F82" s="19">
        <v>13.8</v>
      </c>
      <c r="G82" s="4"/>
      <c r="H82" s="4"/>
    </row>
    <row r="83" spans="1:8" ht="12.6" customHeight="1" x14ac:dyDescent="0.25">
      <c r="A83" s="12">
        <v>72</v>
      </c>
      <c r="B83" s="1" t="s">
        <v>158</v>
      </c>
      <c r="C83" s="120" t="s">
        <v>161</v>
      </c>
      <c r="D83" s="1" t="s">
        <v>146</v>
      </c>
      <c r="E83" s="34">
        <f>+E84</f>
        <v>1.3</v>
      </c>
      <c r="F83" s="34">
        <f>+F84</f>
        <v>1.3</v>
      </c>
      <c r="G83" s="4"/>
      <c r="H83" s="4"/>
    </row>
    <row r="84" spans="1:8" ht="12.6" customHeight="1" x14ac:dyDescent="0.25">
      <c r="A84" s="12">
        <v>73</v>
      </c>
      <c r="B84" s="1"/>
      <c r="C84" s="35" t="s">
        <v>3</v>
      </c>
      <c r="D84" s="1"/>
      <c r="E84" s="19">
        <v>1.3</v>
      </c>
      <c r="F84" s="19">
        <v>1.3</v>
      </c>
      <c r="G84" s="4"/>
      <c r="H84" s="4"/>
    </row>
    <row r="85" spans="1:8" ht="12.6" customHeight="1" x14ac:dyDescent="0.25">
      <c r="A85" s="12">
        <v>74</v>
      </c>
      <c r="B85" s="1" t="s">
        <v>160</v>
      </c>
      <c r="C85" s="120" t="s">
        <v>163</v>
      </c>
      <c r="D85" s="1" t="s">
        <v>37</v>
      </c>
      <c r="E85" s="34">
        <f>SUM(E86:E86)</f>
        <v>6.8</v>
      </c>
      <c r="F85" s="34">
        <f>SUM(F86:F86)</f>
        <v>6.6</v>
      </c>
      <c r="G85" s="4"/>
      <c r="H85" s="4"/>
    </row>
    <row r="86" spans="1:8" ht="12.6" customHeight="1" x14ac:dyDescent="0.25">
      <c r="A86" s="12">
        <v>75</v>
      </c>
      <c r="B86" s="32"/>
      <c r="C86" s="15" t="s">
        <v>8</v>
      </c>
      <c r="D86" s="32"/>
      <c r="E86" s="19">
        <v>6.8</v>
      </c>
      <c r="F86" s="19">
        <v>6.6</v>
      </c>
      <c r="G86" s="4"/>
      <c r="H86" s="4"/>
    </row>
    <row r="87" spans="1:8" ht="12.6" customHeight="1" x14ac:dyDescent="0.25">
      <c r="A87" s="12">
        <v>76</v>
      </c>
      <c r="B87" s="1" t="s">
        <v>162</v>
      </c>
      <c r="C87" s="120" t="s">
        <v>165</v>
      </c>
      <c r="D87" s="1" t="s">
        <v>38</v>
      </c>
      <c r="E87" s="34">
        <f>SUM(E88:E99)</f>
        <v>153.09999999999997</v>
      </c>
      <c r="F87" s="34">
        <f>SUM(F88:F99)</f>
        <v>144.80000000000001</v>
      </c>
      <c r="G87" s="4"/>
      <c r="H87" s="4"/>
    </row>
    <row r="88" spans="1:8" ht="12.6" customHeight="1" x14ac:dyDescent="0.25">
      <c r="A88" s="12">
        <v>77</v>
      </c>
      <c r="B88" s="1"/>
      <c r="C88" s="35" t="s">
        <v>3</v>
      </c>
      <c r="D88" s="1"/>
      <c r="E88" s="34">
        <v>14</v>
      </c>
      <c r="F88" s="34">
        <v>9.6999999999999993</v>
      </c>
      <c r="G88" s="4"/>
      <c r="H88" s="4"/>
    </row>
    <row r="89" spans="1:8" ht="12.6" customHeight="1" x14ac:dyDescent="0.25">
      <c r="A89" s="12">
        <v>78</v>
      </c>
      <c r="B89" s="1"/>
      <c r="C89" s="15" t="s">
        <v>8</v>
      </c>
      <c r="D89" s="1"/>
      <c r="E89" s="19">
        <v>52.8</v>
      </c>
      <c r="F89" s="19">
        <v>51.4</v>
      </c>
      <c r="G89" s="4"/>
      <c r="H89" s="4"/>
    </row>
    <row r="90" spans="1:8" ht="12.6" customHeight="1" x14ac:dyDescent="0.25">
      <c r="A90" s="12">
        <v>79</v>
      </c>
      <c r="B90" s="1"/>
      <c r="C90" s="15" t="s">
        <v>4</v>
      </c>
      <c r="D90" s="1"/>
      <c r="E90" s="19">
        <v>13.3</v>
      </c>
      <c r="F90" s="19">
        <v>12.9</v>
      </c>
      <c r="G90" s="4"/>
      <c r="H90" s="4"/>
    </row>
    <row r="91" spans="1:8" ht="12.6" customHeight="1" x14ac:dyDescent="0.25">
      <c r="A91" s="12">
        <v>80</v>
      </c>
      <c r="B91" s="1"/>
      <c r="C91" s="15" t="s">
        <v>5</v>
      </c>
      <c r="D91" s="1"/>
      <c r="E91" s="19">
        <v>10</v>
      </c>
      <c r="F91" s="19">
        <v>9.6999999999999993</v>
      </c>
      <c r="G91" s="4"/>
      <c r="H91" s="4"/>
    </row>
    <row r="92" spans="1:8" ht="12.6" customHeight="1" x14ac:dyDescent="0.25">
      <c r="A92" s="12">
        <v>81</v>
      </c>
      <c r="B92" s="1"/>
      <c r="C92" s="15" t="s">
        <v>7</v>
      </c>
      <c r="D92" s="1"/>
      <c r="E92" s="19">
        <v>10</v>
      </c>
      <c r="F92" s="19">
        <v>9.6999999999999993</v>
      </c>
      <c r="G92" s="4"/>
      <c r="H92" s="4"/>
    </row>
    <row r="93" spans="1:8" ht="12.6" customHeight="1" x14ac:dyDescent="0.25">
      <c r="A93" s="12">
        <v>82</v>
      </c>
      <c r="B93" s="1"/>
      <c r="C93" s="15" t="s">
        <v>6</v>
      </c>
      <c r="D93" s="1"/>
      <c r="E93" s="19">
        <v>10</v>
      </c>
      <c r="F93" s="19">
        <v>9.6999999999999993</v>
      </c>
      <c r="G93" s="4"/>
      <c r="H93" s="4"/>
    </row>
    <row r="94" spans="1:8" ht="12.6" customHeight="1" x14ac:dyDescent="0.25">
      <c r="A94" s="12">
        <v>83</v>
      </c>
      <c r="B94" s="1"/>
      <c r="C94" s="15" t="s">
        <v>9</v>
      </c>
      <c r="D94" s="1"/>
      <c r="E94" s="19">
        <v>6.6</v>
      </c>
      <c r="F94" s="19">
        <v>6.4</v>
      </c>
      <c r="G94" s="4"/>
      <c r="H94" s="4"/>
    </row>
    <row r="95" spans="1:8" ht="12.6" customHeight="1" x14ac:dyDescent="0.25">
      <c r="A95" s="12">
        <v>84</v>
      </c>
      <c r="B95" s="1"/>
      <c r="C95" s="16" t="s">
        <v>10</v>
      </c>
      <c r="D95" s="1"/>
      <c r="E95" s="19">
        <v>6.6</v>
      </c>
      <c r="F95" s="19">
        <v>6.4</v>
      </c>
      <c r="G95" s="4"/>
      <c r="H95" s="4"/>
    </row>
    <row r="96" spans="1:8" ht="12.6" customHeight="1" x14ac:dyDescent="0.25">
      <c r="A96" s="12">
        <v>85</v>
      </c>
      <c r="B96" s="1"/>
      <c r="C96" s="15" t="s">
        <v>12</v>
      </c>
      <c r="D96" s="1"/>
      <c r="E96" s="19">
        <v>6.6</v>
      </c>
      <c r="F96" s="19">
        <v>6.4</v>
      </c>
      <c r="G96" s="4"/>
      <c r="H96" s="4"/>
    </row>
    <row r="97" spans="1:8" ht="12.6" customHeight="1" x14ac:dyDescent="0.25">
      <c r="A97" s="12">
        <v>86</v>
      </c>
      <c r="B97" s="1"/>
      <c r="C97" s="15" t="s">
        <v>11</v>
      </c>
      <c r="D97" s="1"/>
      <c r="E97" s="19">
        <v>6.6</v>
      </c>
      <c r="F97" s="19">
        <v>6.4</v>
      </c>
      <c r="G97" s="4"/>
      <c r="H97" s="4"/>
    </row>
    <row r="98" spans="1:8" ht="12.6" customHeight="1" x14ac:dyDescent="0.25">
      <c r="A98" s="12">
        <v>87</v>
      </c>
      <c r="B98" s="1"/>
      <c r="C98" s="15" t="s">
        <v>13</v>
      </c>
      <c r="D98" s="1"/>
      <c r="E98" s="19">
        <v>6.6</v>
      </c>
      <c r="F98" s="19">
        <v>6.4</v>
      </c>
      <c r="G98" s="4"/>
      <c r="H98" s="4"/>
    </row>
    <row r="99" spans="1:8" ht="12.6" customHeight="1" x14ac:dyDescent="0.25">
      <c r="A99" s="12">
        <v>88</v>
      </c>
      <c r="B99" s="1"/>
      <c r="C99" s="15" t="s">
        <v>14</v>
      </c>
      <c r="D99" s="1"/>
      <c r="E99" s="19">
        <v>10</v>
      </c>
      <c r="F99" s="19">
        <v>9.6999999999999993</v>
      </c>
      <c r="G99" s="4"/>
      <c r="H99" s="4"/>
    </row>
    <row r="100" spans="1:8" ht="39.6" x14ac:dyDescent="0.25">
      <c r="A100" s="12">
        <v>89</v>
      </c>
      <c r="B100" s="1" t="s">
        <v>164</v>
      </c>
      <c r="C100" s="110" t="s">
        <v>187</v>
      </c>
      <c r="D100" s="1"/>
      <c r="E100" s="19">
        <f>+E101</f>
        <v>18.8</v>
      </c>
      <c r="F100" s="19">
        <f>+F101</f>
        <v>18.5</v>
      </c>
      <c r="G100" s="4"/>
      <c r="H100" s="4"/>
    </row>
    <row r="101" spans="1:8" ht="12.6" customHeight="1" x14ac:dyDescent="0.25">
      <c r="A101" s="12">
        <v>90</v>
      </c>
      <c r="B101" s="1"/>
      <c r="C101" s="52" t="s">
        <v>3</v>
      </c>
      <c r="D101" s="109" t="s">
        <v>185</v>
      </c>
      <c r="E101" s="19">
        <v>18.8</v>
      </c>
      <c r="F101" s="19">
        <v>18.5</v>
      </c>
      <c r="G101" s="4"/>
      <c r="H101" s="4"/>
    </row>
    <row r="102" spans="1:8" ht="26.4" x14ac:dyDescent="0.25">
      <c r="A102" s="12">
        <v>91</v>
      </c>
      <c r="B102" s="1" t="s">
        <v>188</v>
      </c>
      <c r="C102" s="110" t="s">
        <v>272</v>
      </c>
      <c r="D102" s="109"/>
      <c r="E102" s="19">
        <f>+E103</f>
        <v>0.3</v>
      </c>
      <c r="F102" s="19">
        <f>+F103</f>
        <v>0</v>
      </c>
      <c r="G102" s="4"/>
      <c r="H102" s="4"/>
    </row>
    <row r="103" spans="1:8" ht="12.6" customHeight="1" x14ac:dyDescent="0.25">
      <c r="A103" s="12">
        <v>92</v>
      </c>
      <c r="B103" s="1"/>
      <c r="C103" s="52" t="s">
        <v>3</v>
      </c>
      <c r="D103" s="1" t="s">
        <v>271</v>
      </c>
      <c r="E103" s="19">
        <v>0.3</v>
      </c>
      <c r="F103" s="19"/>
      <c r="G103" s="4"/>
      <c r="H103" s="4"/>
    </row>
    <row r="104" spans="1:8" ht="12.6" customHeight="1" x14ac:dyDescent="0.25">
      <c r="A104" s="12">
        <v>93</v>
      </c>
      <c r="B104" s="1"/>
      <c r="C104" s="121" t="s">
        <v>20</v>
      </c>
      <c r="D104" s="11"/>
      <c r="E104" s="44">
        <f>+E10+E17+E46+E64</f>
        <v>5867</v>
      </c>
      <c r="F104" s="44">
        <f>+F10+F17+F46+F64</f>
        <v>3536.2000000000003</v>
      </c>
      <c r="G104" s="4"/>
      <c r="H104" s="4"/>
    </row>
    <row r="105" spans="1:8" ht="10.5" customHeight="1" x14ac:dyDescent="0.25">
      <c r="E105" s="20"/>
      <c r="F105" s="20"/>
    </row>
    <row r="106" spans="1:8" x14ac:dyDescent="0.25">
      <c r="C106" s="3" t="s">
        <v>166</v>
      </c>
      <c r="D106" s="114"/>
      <c r="E106" s="20"/>
      <c r="F106" s="20"/>
    </row>
    <row r="107" spans="1:8" x14ac:dyDescent="0.25">
      <c r="E107" s="48"/>
      <c r="F107" s="48"/>
    </row>
    <row r="108" spans="1:8" x14ac:dyDescent="0.25">
      <c r="E108" s="20"/>
      <c r="F108" s="20"/>
    </row>
    <row r="109" spans="1:8" x14ac:dyDescent="0.25">
      <c r="E109" s="20"/>
      <c r="F109" s="20"/>
    </row>
  </sheetData>
  <mergeCells count="9">
    <mergeCell ref="A59:A60"/>
    <mergeCell ref="B59:B60"/>
    <mergeCell ref="D59:D60"/>
    <mergeCell ref="C1:F1"/>
    <mergeCell ref="C2:F2"/>
    <mergeCell ref="E3:F3"/>
    <mergeCell ref="A5:F5"/>
    <mergeCell ref="A23:A24"/>
    <mergeCell ref="B23:B24"/>
  </mergeCells>
  <pageMargins left="0.70866141732283472" right="0" top="0.74803149606299213" bottom="0.74803149606299213" header="0.31496062992125984" footer="0.31496062992125984"/>
  <pageSetup paperSize="9" orientation="portrait" r:id="rId1"/>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Q65"/>
  <sheetViews>
    <sheetView workbookViewId="0">
      <selection activeCell="H6" sqref="H6"/>
    </sheetView>
  </sheetViews>
  <sheetFormatPr defaultColWidth="9.109375" defaultRowHeight="13.2" x14ac:dyDescent="0.25"/>
  <cols>
    <col min="1" max="1" width="4.109375" style="3" customWidth="1"/>
    <col min="2" max="2" width="8.109375" style="7" customWidth="1"/>
    <col min="3" max="3" width="47.6640625" style="55" customWidth="1"/>
    <col min="4" max="4" width="10.6640625" style="6" customWidth="1"/>
    <col min="5" max="5" width="8.44140625" style="5" customWidth="1"/>
    <col min="6" max="9" width="11.109375" style="5" customWidth="1"/>
    <col min="10" max="16384" width="9.109375" style="2"/>
  </cols>
  <sheetData>
    <row r="1" spans="1:17" ht="15.6" x14ac:dyDescent="0.3">
      <c r="C1" s="149" t="s">
        <v>266</v>
      </c>
      <c r="D1" s="149"/>
      <c r="E1" s="149"/>
      <c r="F1" s="149"/>
      <c r="G1" s="132"/>
      <c r="H1" s="132"/>
      <c r="I1" s="132"/>
    </row>
    <row r="2" spans="1:17" ht="15.6" x14ac:dyDescent="0.3">
      <c r="C2" s="149" t="s">
        <v>426</v>
      </c>
      <c r="D2" s="149"/>
      <c r="E2" s="149"/>
      <c r="F2" s="149"/>
      <c r="G2" s="132"/>
      <c r="H2" s="132"/>
      <c r="I2" s="132"/>
    </row>
    <row r="3" spans="1:17" ht="15.6" x14ac:dyDescent="0.3">
      <c r="C3" s="26"/>
      <c r="D3" s="26"/>
      <c r="E3" s="150" t="s">
        <v>265</v>
      </c>
      <c r="F3" s="150"/>
      <c r="G3" s="37"/>
      <c r="H3" s="37"/>
      <c r="I3" s="37"/>
    </row>
    <row r="4" spans="1:17" ht="15.6" x14ac:dyDescent="0.25">
      <c r="E4" s="37"/>
      <c r="F4" s="37"/>
      <c r="G4" s="37"/>
      <c r="H4" s="37"/>
      <c r="I4" s="37"/>
    </row>
    <row r="5" spans="1:17" ht="32.25" customHeight="1" x14ac:dyDescent="0.25">
      <c r="A5" s="152" t="s">
        <v>262</v>
      </c>
      <c r="B5" s="152"/>
      <c r="C5" s="152"/>
      <c r="D5" s="152"/>
      <c r="E5" s="152"/>
      <c r="F5" s="152"/>
      <c r="G5" s="56"/>
      <c r="H5" s="56"/>
      <c r="I5" s="56"/>
    </row>
    <row r="6" spans="1:17" x14ac:dyDescent="0.25">
      <c r="A6" s="56"/>
      <c r="B6" s="56"/>
      <c r="C6" s="56"/>
      <c r="D6" s="56"/>
      <c r="E6" s="56"/>
      <c r="F6" s="56"/>
      <c r="G6" s="56"/>
      <c r="H6" s="56"/>
      <c r="I6" s="56"/>
    </row>
    <row r="7" spans="1:17" x14ac:dyDescent="0.25">
      <c r="A7" s="57"/>
      <c r="B7" s="58"/>
      <c r="C7" s="59"/>
      <c r="D7" s="60"/>
      <c r="E7" s="61"/>
      <c r="F7" s="61"/>
      <c r="G7" s="61"/>
      <c r="H7" s="61"/>
      <c r="I7" s="61"/>
    </row>
    <row r="8" spans="1:17" ht="39.75" customHeight="1" x14ac:dyDescent="0.25">
      <c r="A8" s="8" t="s">
        <v>81</v>
      </c>
      <c r="B8" s="9" t="s">
        <v>264</v>
      </c>
      <c r="C8" s="8" t="s">
        <v>16</v>
      </c>
      <c r="D8" s="9" t="s">
        <v>49</v>
      </c>
      <c r="E8" s="8" t="s">
        <v>17</v>
      </c>
      <c r="F8" s="8" t="s">
        <v>29</v>
      </c>
      <c r="G8" s="133"/>
      <c r="H8" s="133"/>
      <c r="I8" s="133"/>
    </row>
    <row r="9" spans="1:17" s="45" customFormat="1" ht="12.75" customHeight="1" x14ac:dyDescent="0.25">
      <c r="A9" s="10">
        <v>1</v>
      </c>
      <c r="B9" s="11" t="s">
        <v>18</v>
      </c>
      <c r="C9" s="8">
        <v>3</v>
      </c>
      <c r="D9" s="9">
        <v>4</v>
      </c>
      <c r="E9" s="8">
        <v>5</v>
      </c>
      <c r="F9" s="8">
        <v>6</v>
      </c>
      <c r="G9" s="133"/>
      <c r="H9" s="133"/>
      <c r="I9" s="133"/>
      <c r="J9" s="2"/>
      <c r="K9" s="2"/>
      <c r="L9" s="2"/>
      <c r="M9" s="2"/>
      <c r="N9" s="2"/>
    </row>
    <row r="10" spans="1:17" s="45" customFormat="1" ht="18" customHeight="1" x14ac:dyDescent="0.25">
      <c r="A10" s="12">
        <v>1</v>
      </c>
      <c r="B10" s="11" t="s">
        <v>50</v>
      </c>
      <c r="C10" s="13" t="s">
        <v>51</v>
      </c>
      <c r="D10" s="8"/>
      <c r="E10" s="46">
        <f>+E11+E45</f>
        <v>17370.199999999993</v>
      </c>
      <c r="F10" s="46">
        <f>+F11+F45</f>
        <v>16611.900000000001</v>
      </c>
      <c r="G10" s="134"/>
      <c r="H10" s="134"/>
      <c r="I10" s="134"/>
      <c r="J10" s="4"/>
      <c r="K10" s="4"/>
      <c r="L10" s="4"/>
      <c r="M10" s="4"/>
      <c r="N10" s="4"/>
      <c r="O10" s="54"/>
      <c r="P10" s="54"/>
      <c r="Q10" s="54"/>
    </row>
    <row r="11" spans="1:17" s="45" customFormat="1" ht="24.9" customHeight="1" x14ac:dyDescent="0.25">
      <c r="A11" s="12">
        <v>2</v>
      </c>
      <c r="B11" s="14" t="s">
        <v>180</v>
      </c>
      <c r="C11" s="62" t="s">
        <v>167</v>
      </c>
      <c r="D11" s="8"/>
      <c r="E11" s="63">
        <f>+E13+E16+E17+E18+E12+E14+E15+E19+E24+E21+E34+E20+E26+E27+E22+E23+E25+E28+E29+E30+E31+E32+E33+E35+E36+E37+E38+E44+E43</f>
        <v>16811.499999999993</v>
      </c>
      <c r="F11" s="63">
        <f>+F13+F16+F17+F18+F12+F14+F15+F19+F24+F21+F34+F20+F26+F27+F22+F23+F25+F28+F29+F30+F31+F32+F33+F35+F36+F37+F38+F44+F43</f>
        <v>16141</v>
      </c>
      <c r="G11" s="135"/>
      <c r="H11" s="135"/>
      <c r="I11" s="135"/>
      <c r="J11" s="140"/>
      <c r="K11" s="140"/>
      <c r="L11" s="4"/>
      <c r="M11" s="4"/>
      <c r="N11" s="4"/>
      <c r="O11" s="54"/>
      <c r="P11" s="54"/>
      <c r="Q11" s="54"/>
    </row>
    <row r="12" spans="1:17" ht="12.6" customHeight="1" x14ac:dyDescent="0.25">
      <c r="A12" s="12">
        <v>3</v>
      </c>
      <c r="B12" s="1"/>
      <c r="C12" s="21" t="s">
        <v>104</v>
      </c>
      <c r="D12" s="1" t="s">
        <v>52</v>
      </c>
      <c r="E12" s="19">
        <f>310.9-1.8</f>
        <v>309.09999999999997</v>
      </c>
      <c r="F12" s="19">
        <f>300.4-1.7</f>
        <v>298.7</v>
      </c>
      <c r="G12" s="136"/>
      <c r="H12" s="136"/>
      <c r="I12" s="136"/>
      <c r="J12" s="136"/>
      <c r="K12" s="136"/>
      <c r="L12" s="4"/>
      <c r="M12" s="4"/>
      <c r="N12" s="4"/>
      <c r="O12" s="4"/>
      <c r="P12" s="4"/>
      <c r="Q12" s="4"/>
    </row>
    <row r="13" spans="1:17" ht="12.6" customHeight="1" x14ac:dyDescent="0.25">
      <c r="A13" s="12">
        <v>4</v>
      </c>
      <c r="B13" s="1"/>
      <c r="C13" s="21" t="s">
        <v>95</v>
      </c>
      <c r="D13" s="1" t="s">
        <v>52</v>
      </c>
      <c r="E13" s="19">
        <f>363.8-18.7</f>
        <v>345.1</v>
      </c>
      <c r="F13" s="19">
        <f>352.2-18.4</f>
        <v>333.8</v>
      </c>
      <c r="G13" s="136"/>
      <c r="H13" s="136"/>
      <c r="I13" s="136"/>
      <c r="J13" s="136"/>
      <c r="K13" s="136"/>
      <c r="L13" s="4"/>
      <c r="M13" s="4"/>
      <c r="N13" s="4"/>
      <c r="O13" s="4"/>
      <c r="P13" s="4"/>
      <c r="Q13" s="4"/>
    </row>
    <row r="14" spans="1:17" ht="12.6" customHeight="1" x14ac:dyDescent="0.25">
      <c r="A14" s="12">
        <v>5</v>
      </c>
      <c r="B14" s="1"/>
      <c r="C14" s="21" t="s">
        <v>96</v>
      </c>
      <c r="D14" s="1" t="s">
        <v>52</v>
      </c>
      <c r="E14" s="19">
        <f>361+2.3</f>
        <v>363.3</v>
      </c>
      <c r="F14" s="19">
        <f>348.5+2.3</f>
        <v>350.8</v>
      </c>
      <c r="G14" s="136"/>
      <c r="H14" s="136"/>
      <c r="I14" s="136"/>
      <c r="J14" s="136"/>
      <c r="K14" s="136"/>
      <c r="L14" s="4"/>
      <c r="M14" s="4"/>
      <c r="N14" s="4"/>
      <c r="O14" s="4"/>
      <c r="P14" s="4"/>
      <c r="Q14" s="4"/>
    </row>
    <row r="15" spans="1:17" ht="12.6" customHeight="1" x14ac:dyDescent="0.25">
      <c r="A15" s="12">
        <v>6</v>
      </c>
      <c r="B15" s="1"/>
      <c r="C15" s="21" t="s">
        <v>100</v>
      </c>
      <c r="D15" s="1" t="s">
        <v>52</v>
      </c>
      <c r="E15" s="19">
        <f>420-4</f>
        <v>416</v>
      </c>
      <c r="F15" s="19">
        <f>405.6-4</f>
        <v>401.6</v>
      </c>
      <c r="G15" s="136"/>
      <c r="H15" s="136"/>
      <c r="I15" s="136"/>
      <c r="J15" s="136"/>
      <c r="K15" s="136"/>
      <c r="L15" s="4"/>
      <c r="M15" s="4"/>
      <c r="N15" s="4"/>
      <c r="O15" s="4"/>
      <c r="P15" s="4"/>
      <c r="Q15" s="4"/>
    </row>
    <row r="16" spans="1:17" ht="12.6" customHeight="1" x14ac:dyDescent="0.25">
      <c r="A16" s="12">
        <v>7</v>
      </c>
      <c r="B16" s="1"/>
      <c r="C16" s="21" t="s">
        <v>97</v>
      </c>
      <c r="D16" s="1" t="s">
        <v>52</v>
      </c>
      <c r="E16" s="19">
        <f>391.9-7.3</f>
        <v>384.59999999999997</v>
      </c>
      <c r="F16" s="19">
        <f>378.4-7.1</f>
        <v>371.29999999999995</v>
      </c>
      <c r="G16" s="136"/>
      <c r="H16" s="136"/>
      <c r="I16" s="136"/>
      <c r="J16" s="136"/>
      <c r="K16" s="136"/>
      <c r="L16" s="4"/>
      <c r="M16" s="4"/>
      <c r="N16" s="4"/>
      <c r="O16" s="4"/>
      <c r="P16" s="4"/>
      <c r="Q16" s="4"/>
    </row>
    <row r="17" spans="1:17" ht="12.6" customHeight="1" x14ac:dyDescent="0.25">
      <c r="A17" s="12">
        <v>8</v>
      </c>
      <c r="B17" s="1"/>
      <c r="C17" s="21" t="s">
        <v>98</v>
      </c>
      <c r="D17" s="1" t="s">
        <v>52</v>
      </c>
      <c r="E17" s="19">
        <f>395.8-0.4</f>
        <v>395.40000000000003</v>
      </c>
      <c r="F17" s="19">
        <f>384.2-0.4</f>
        <v>383.8</v>
      </c>
      <c r="G17" s="136"/>
      <c r="H17" s="136"/>
      <c r="I17" s="136"/>
      <c r="J17" s="136"/>
      <c r="K17" s="136"/>
      <c r="L17" s="4"/>
      <c r="M17" s="4"/>
      <c r="N17" s="4"/>
      <c r="P17" s="4"/>
      <c r="Q17" s="4"/>
    </row>
    <row r="18" spans="1:17" ht="12.6" customHeight="1" x14ac:dyDescent="0.25">
      <c r="A18" s="12">
        <v>9</v>
      </c>
      <c r="B18" s="1"/>
      <c r="C18" s="21" t="s">
        <v>99</v>
      </c>
      <c r="D18" s="1" t="s">
        <v>52</v>
      </c>
      <c r="E18" s="19">
        <f>391.1-2.4</f>
        <v>388.70000000000005</v>
      </c>
      <c r="F18" s="19">
        <f>377.1-2.4</f>
        <v>374.70000000000005</v>
      </c>
      <c r="G18" s="136"/>
      <c r="H18" s="136"/>
      <c r="I18" s="136"/>
      <c r="J18" s="136"/>
      <c r="K18" s="136"/>
      <c r="L18" s="4"/>
      <c r="M18" s="4"/>
      <c r="N18" s="36"/>
      <c r="P18" s="4"/>
      <c r="Q18" s="4"/>
    </row>
    <row r="19" spans="1:17" ht="12.6" customHeight="1" x14ac:dyDescent="0.25">
      <c r="A19" s="12">
        <v>10</v>
      </c>
      <c r="B19" s="32"/>
      <c r="C19" s="15" t="s">
        <v>108</v>
      </c>
      <c r="D19" s="32" t="s">
        <v>53</v>
      </c>
      <c r="E19" s="19">
        <f>418.5+4</f>
        <v>422.5</v>
      </c>
      <c r="F19" s="19">
        <f>401.9+4</f>
        <v>405.9</v>
      </c>
      <c r="G19" s="136"/>
      <c r="H19" s="136"/>
      <c r="I19" s="136"/>
      <c r="J19" s="136"/>
      <c r="K19" s="136"/>
      <c r="L19" s="4"/>
      <c r="M19" s="4"/>
      <c r="N19" s="4"/>
      <c r="P19" s="4"/>
      <c r="Q19" s="4"/>
    </row>
    <row r="20" spans="1:17" ht="12.6" customHeight="1" x14ac:dyDescent="0.25">
      <c r="A20" s="12">
        <v>11</v>
      </c>
      <c r="B20" s="32"/>
      <c r="C20" s="21" t="s">
        <v>103</v>
      </c>
      <c r="D20" s="32" t="s">
        <v>54</v>
      </c>
      <c r="E20" s="19">
        <f>1179.2-22</f>
        <v>1157.2</v>
      </c>
      <c r="F20" s="19">
        <f>1127.7-21.3</f>
        <v>1106.4000000000001</v>
      </c>
      <c r="G20" s="136"/>
      <c r="H20" s="136"/>
      <c r="I20" s="136"/>
      <c r="J20" s="136"/>
      <c r="K20" s="136"/>
      <c r="L20" s="4"/>
      <c r="M20" s="4"/>
      <c r="N20" s="4"/>
      <c r="O20" s="4"/>
      <c r="P20" s="4"/>
      <c r="Q20" s="4"/>
    </row>
    <row r="21" spans="1:17" ht="12.6" customHeight="1" x14ac:dyDescent="0.25">
      <c r="A21" s="12">
        <v>12</v>
      </c>
      <c r="B21" s="32"/>
      <c r="C21" s="21" t="s">
        <v>44</v>
      </c>
      <c r="D21" s="32" t="s">
        <v>54</v>
      </c>
      <c r="E21" s="19">
        <f>1137.2+12.3</f>
        <v>1149.5</v>
      </c>
      <c r="F21" s="19">
        <f>1087.8+11.5</f>
        <v>1099.3</v>
      </c>
      <c r="G21" s="136"/>
      <c r="H21" s="136"/>
      <c r="I21" s="136"/>
      <c r="J21" s="136"/>
      <c r="K21" s="136"/>
      <c r="L21" s="4"/>
      <c r="M21" s="4"/>
      <c r="N21" s="4"/>
      <c r="O21" s="4"/>
      <c r="P21" s="4"/>
      <c r="Q21" s="4"/>
    </row>
    <row r="22" spans="1:17" ht="12.6" customHeight="1" x14ac:dyDescent="0.25">
      <c r="A22" s="12">
        <v>13</v>
      </c>
      <c r="B22" s="32"/>
      <c r="C22" s="22" t="s">
        <v>86</v>
      </c>
      <c r="D22" s="32" t="s">
        <v>54</v>
      </c>
      <c r="E22" s="19">
        <f>981.9-15.1</f>
        <v>966.8</v>
      </c>
      <c r="F22" s="19">
        <f>943.5-15</f>
        <v>928.5</v>
      </c>
      <c r="G22" s="136"/>
      <c r="H22" s="136"/>
      <c r="I22" s="136"/>
      <c r="J22" s="136"/>
      <c r="K22" s="136"/>
      <c r="L22" s="4"/>
      <c r="M22" s="4"/>
      <c r="N22" s="4"/>
      <c r="O22" s="4"/>
      <c r="P22" s="4"/>
      <c r="Q22" s="4"/>
    </row>
    <row r="23" spans="1:17" ht="12.6" customHeight="1" x14ac:dyDescent="0.25">
      <c r="A23" s="12">
        <v>14</v>
      </c>
      <c r="B23" s="32"/>
      <c r="C23" s="22" t="s">
        <v>87</v>
      </c>
      <c r="D23" s="32" t="s">
        <v>54</v>
      </c>
      <c r="E23" s="19">
        <f>742.9-9</f>
        <v>733.9</v>
      </c>
      <c r="F23" s="19">
        <f>711.4-8.9</f>
        <v>702.5</v>
      </c>
      <c r="G23" s="136"/>
      <c r="H23" s="136"/>
      <c r="I23" s="136"/>
      <c r="J23" s="136"/>
      <c r="K23" s="136"/>
      <c r="L23" s="4"/>
      <c r="M23" s="4"/>
      <c r="N23" s="4"/>
      <c r="O23" s="4"/>
      <c r="P23" s="4"/>
      <c r="Q23" s="4"/>
    </row>
    <row r="24" spans="1:17" ht="12.6" customHeight="1" x14ac:dyDescent="0.25">
      <c r="A24" s="12">
        <v>15</v>
      </c>
      <c r="B24" s="32"/>
      <c r="C24" s="22" t="s">
        <v>39</v>
      </c>
      <c r="D24" s="32" t="s">
        <v>54</v>
      </c>
      <c r="E24" s="19">
        <f>885.5-27.1</f>
        <v>858.4</v>
      </c>
      <c r="F24" s="19">
        <f>853.7-26.8</f>
        <v>826.90000000000009</v>
      </c>
      <c r="G24" s="136"/>
      <c r="H24" s="136"/>
      <c r="I24" s="136"/>
      <c r="J24" s="136"/>
      <c r="K24" s="136"/>
      <c r="L24" s="4"/>
      <c r="M24" s="4"/>
      <c r="N24" s="4"/>
      <c r="O24" s="4"/>
      <c r="P24" s="4"/>
      <c r="Q24" s="4"/>
    </row>
    <row r="25" spans="1:17" ht="12.6" customHeight="1" x14ac:dyDescent="0.25">
      <c r="A25" s="12">
        <v>16</v>
      </c>
      <c r="B25" s="32"/>
      <c r="C25" s="21" t="s">
        <v>90</v>
      </c>
      <c r="D25" s="32" t="s">
        <v>54</v>
      </c>
      <c r="E25" s="19">
        <f>689.2+75.4-47.5</f>
        <v>717.1</v>
      </c>
      <c r="F25" s="19">
        <f>662.4+70.6-43.9</f>
        <v>689.1</v>
      </c>
      <c r="G25" s="136"/>
      <c r="H25" s="136"/>
      <c r="I25" s="136"/>
      <c r="J25" s="136"/>
      <c r="K25" s="136"/>
      <c r="L25" s="4"/>
      <c r="M25" s="4"/>
      <c r="N25" s="4"/>
      <c r="O25" s="4"/>
      <c r="P25" s="4"/>
      <c r="Q25" s="4"/>
    </row>
    <row r="26" spans="1:17" ht="12.6" customHeight="1" x14ac:dyDescent="0.25">
      <c r="A26" s="12">
        <v>17</v>
      </c>
      <c r="B26" s="32"/>
      <c r="C26" s="22" t="s">
        <v>101</v>
      </c>
      <c r="D26" s="32" t="s">
        <v>55</v>
      </c>
      <c r="E26" s="19">
        <f>1668.5-26.5</f>
        <v>1642</v>
      </c>
      <c r="F26" s="19">
        <f>1587.1-26.5</f>
        <v>1560.6</v>
      </c>
      <c r="G26" s="136"/>
      <c r="H26" s="136"/>
      <c r="I26" s="136"/>
      <c r="J26" s="136"/>
      <c r="K26" s="136"/>
      <c r="L26" s="4"/>
      <c r="M26" s="4"/>
      <c r="N26" s="4"/>
      <c r="O26" s="4"/>
      <c r="P26" s="4"/>
      <c r="Q26" s="4"/>
    </row>
    <row r="27" spans="1:17" ht="12.6" customHeight="1" x14ac:dyDescent="0.25">
      <c r="A27" s="12">
        <v>18</v>
      </c>
      <c r="B27" s="32"/>
      <c r="C27" s="21" t="s">
        <v>102</v>
      </c>
      <c r="D27" s="47" t="s">
        <v>115</v>
      </c>
      <c r="E27" s="19">
        <f>1704.1-22.8</f>
        <v>1681.3</v>
      </c>
      <c r="F27" s="19">
        <f>1617.1-22.8</f>
        <v>1594.3</v>
      </c>
      <c r="G27" s="136"/>
      <c r="H27" s="136"/>
      <c r="I27" s="136"/>
      <c r="J27" s="136"/>
      <c r="K27" s="136"/>
      <c r="L27" s="4"/>
      <c r="M27" s="4"/>
      <c r="N27" s="4"/>
      <c r="O27" s="4"/>
      <c r="P27" s="4"/>
      <c r="Q27" s="4"/>
    </row>
    <row r="28" spans="1:17" ht="12.6" customHeight="1" x14ac:dyDescent="0.25">
      <c r="A28" s="12">
        <v>19</v>
      </c>
      <c r="B28" s="32"/>
      <c r="C28" s="22" t="s">
        <v>83</v>
      </c>
      <c r="D28" s="47" t="s">
        <v>115</v>
      </c>
      <c r="E28" s="19">
        <f>1164-21.4</f>
        <v>1142.5999999999999</v>
      </c>
      <c r="F28" s="19">
        <f>1109.2-21.9</f>
        <v>1087.3</v>
      </c>
      <c r="G28" s="136"/>
      <c r="H28" s="136"/>
      <c r="I28" s="136"/>
      <c r="J28" s="136"/>
      <c r="K28" s="136"/>
      <c r="L28" s="4"/>
      <c r="M28" s="4"/>
      <c r="N28" s="4"/>
      <c r="O28" s="4"/>
      <c r="P28" s="4"/>
      <c r="Q28" s="4"/>
    </row>
    <row r="29" spans="1:17" ht="12.6" customHeight="1" x14ac:dyDescent="0.25">
      <c r="A29" s="12">
        <v>20</v>
      </c>
      <c r="B29" s="32"/>
      <c r="C29" s="22" t="s">
        <v>40</v>
      </c>
      <c r="D29" s="32" t="s">
        <v>55</v>
      </c>
      <c r="E29" s="19">
        <f>408.5+0.4</f>
        <v>408.9</v>
      </c>
      <c r="F29" s="19">
        <f>395.7+0.3</f>
        <v>396</v>
      </c>
      <c r="G29" s="136"/>
      <c r="H29" s="136"/>
      <c r="I29" s="136"/>
      <c r="J29" s="136"/>
      <c r="K29" s="136"/>
      <c r="L29" s="4"/>
      <c r="M29" s="4"/>
      <c r="N29" s="4"/>
      <c r="O29" s="4"/>
      <c r="P29" s="4"/>
      <c r="Q29" s="4"/>
    </row>
    <row r="30" spans="1:17" ht="12.6" customHeight="1" x14ac:dyDescent="0.25">
      <c r="A30" s="12">
        <v>21</v>
      </c>
      <c r="B30" s="32"/>
      <c r="C30" s="22" t="s">
        <v>88</v>
      </c>
      <c r="D30" s="32" t="s">
        <v>55</v>
      </c>
      <c r="E30" s="19">
        <f>847.4-23.5</f>
        <v>823.9</v>
      </c>
      <c r="F30" s="19">
        <f>819.2-22.9</f>
        <v>796.30000000000007</v>
      </c>
      <c r="G30" s="136"/>
      <c r="H30" s="136"/>
      <c r="I30" s="136"/>
      <c r="J30" s="136"/>
      <c r="K30" s="136"/>
      <c r="L30" s="4"/>
      <c r="M30" s="4"/>
      <c r="N30" s="4"/>
      <c r="O30" s="4"/>
      <c r="P30" s="4"/>
      <c r="Q30" s="4"/>
    </row>
    <row r="31" spans="1:17" ht="12.6" customHeight="1" x14ac:dyDescent="0.25">
      <c r="A31" s="12">
        <v>22</v>
      </c>
      <c r="B31" s="32"/>
      <c r="C31" s="22" t="s">
        <v>112</v>
      </c>
      <c r="D31" s="32" t="s">
        <v>55</v>
      </c>
      <c r="E31" s="19">
        <f>345-12.7</f>
        <v>332.3</v>
      </c>
      <c r="F31" s="19">
        <f>334.5-12.3</f>
        <v>322.2</v>
      </c>
      <c r="G31" s="136"/>
      <c r="H31" s="136"/>
      <c r="I31" s="136"/>
      <c r="J31" s="136"/>
      <c r="K31" s="136"/>
      <c r="L31" s="4"/>
      <c r="M31" s="4"/>
      <c r="N31" s="4"/>
      <c r="O31" s="4"/>
      <c r="P31" s="4"/>
      <c r="Q31" s="4"/>
    </row>
    <row r="32" spans="1:17" ht="12.6" customHeight="1" x14ac:dyDescent="0.25">
      <c r="A32" s="12">
        <v>23</v>
      </c>
      <c r="B32" s="64"/>
      <c r="C32" s="22" t="s">
        <v>41</v>
      </c>
      <c r="D32" s="32" t="s">
        <v>55</v>
      </c>
      <c r="E32" s="19">
        <f>377.3-9.6</f>
        <v>367.7</v>
      </c>
      <c r="F32" s="19">
        <f>364.8-9.3</f>
        <v>355.5</v>
      </c>
      <c r="G32" s="136"/>
      <c r="H32" s="136"/>
      <c r="I32" s="136"/>
      <c r="J32" s="136"/>
      <c r="K32" s="136"/>
      <c r="L32" s="4"/>
      <c r="M32" s="4"/>
      <c r="N32" s="4"/>
      <c r="O32" s="4"/>
      <c r="P32" s="4"/>
      <c r="Q32" s="4"/>
    </row>
    <row r="33" spans="1:17" ht="12.6" customHeight="1" x14ac:dyDescent="0.25">
      <c r="A33" s="12">
        <v>24</v>
      </c>
      <c r="B33" s="32"/>
      <c r="C33" s="22" t="s">
        <v>89</v>
      </c>
      <c r="D33" s="32" t="s">
        <v>55</v>
      </c>
      <c r="E33" s="19">
        <f>321.3-75.4</f>
        <v>245.9</v>
      </c>
      <c r="F33" s="19">
        <f>311.7-70.6</f>
        <v>241.1</v>
      </c>
      <c r="G33" s="136"/>
      <c r="H33" s="136"/>
      <c r="I33" s="136"/>
      <c r="J33" s="136"/>
      <c r="K33" s="136"/>
      <c r="L33" s="4"/>
      <c r="M33" s="4"/>
      <c r="N33" s="4"/>
      <c r="O33" s="4"/>
      <c r="P33" s="4"/>
      <c r="Q33" s="4"/>
    </row>
    <row r="34" spans="1:17" ht="26.4" x14ac:dyDescent="0.25">
      <c r="A34" s="12">
        <v>25</v>
      </c>
      <c r="B34" s="32"/>
      <c r="C34" s="22" t="s">
        <v>77</v>
      </c>
      <c r="D34" s="47" t="s">
        <v>168</v>
      </c>
      <c r="E34" s="19">
        <f>299.9-21.1</f>
        <v>278.79999999999995</v>
      </c>
      <c r="F34" s="19">
        <f>284.7-20.5</f>
        <v>264.2</v>
      </c>
      <c r="G34" s="136"/>
      <c r="H34" s="136"/>
      <c r="I34" s="136"/>
      <c r="J34" s="136"/>
      <c r="K34" s="136"/>
      <c r="L34" s="4"/>
      <c r="M34" s="4"/>
      <c r="N34" s="4"/>
      <c r="O34" s="4"/>
      <c r="P34" s="4"/>
      <c r="Q34" s="4"/>
    </row>
    <row r="35" spans="1:17" ht="12.6" customHeight="1" x14ac:dyDescent="0.25">
      <c r="A35" s="12">
        <v>26</v>
      </c>
      <c r="B35" s="32"/>
      <c r="C35" s="21" t="s">
        <v>260</v>
      </c>
      <c r="D35" s="32" t="s">
        <v>55</v>
      </c>
      <c r="E35" s="19">
        <f>615.7+0.1</f>
        <v>615.80000000000007</v>
      </c>
      <c r="F35" s="19">
        <f>601+0.1</f>
        <v>601.1</v>
      </c>
      <c r="G35" s="136"/>
      <c r="H35" s="136"/>
      <c r="I35" s="136"/>
      <c r="J35" s="136"/>
      <c r="K35" s="136"/>
      <c r="L35" s="4"/>
      <c r="M35" s="4"/>
      <c r="N35" s="4"/>
      <c r="O35" s="4"/>
      <c r="P35" s="4"/>
      <c r="Q35" s="4"/>
    </row>
    <row r="36" spans="1:17" ht="12.6" customHeight="1" x14ac:dyDescent="0.25">
      <c r="A36" s="12">
        <v>27</v>
      </c>
      <c r="B36" s="1"/>
      <c r="C36" s="21" t="s">
        <v>48</v>
      </c>
      <c r="D36" s="1" t="s">
        <v>56</v>
      </c>
      <c r="E36" s="19">
        <f>25+0.3</f>
        <v>25.3</v>
      </c>
      <c r="F36" s="19">
        <f>24.6+0.3</f>
        <v>24.900000000000002</v>
      </c>
      <c r="G36" s="136"/>
      <c r="H36" s="136"/>
      <c r="I36" s="136"/>
      <c r="J36" s="136"/>
      <c r="K36" s="136"/>
      <c r="L36" s="4"/>
      <c r="M36" s="4"/>
      <c r="N36" s="4"/>
      <c r="O36" s="4"/>
      <c r="P36" s="4"/>
      <c r="Q36" s="4"/>
    </row>
    <row r="37" spans="1:17" ht="12.6" customHeight="1" x14ac:dyDescent="0.25">
      <c r="A37" s="12">
        <v>28</v>
      </c>
      <c r="B37" s="1"/>
      <c r="C37" s="21" t="s">
        <v>46</v>
      </c>
      <c r="D37" s="1" t="s">
        <v>56</v>
      </c>
      <c r="E37" s="19">
        <f>36.2-1.4</f>
        <v>34.800000000000004</v>
      </c>
      <c r="F37" s="19">
        <f>35.7-1.4</f>
        <v>34.300000000000004</v>
      </c>
      <c r="G37" s="136"/>
      <c r="H37" s="136"/>
      <c r="I37" s="136"/>
      <c r="J37" s="136"/>
      <c r="K37" s="136"/>
      <c r="L37" s="4"/>
      <c r="M37" s="4"/>
      <c r="N37" s="4"/>
      <c r="O37" s="4"/>
      <c r="P37" s="4"/>
      <c r="Q37" s="4"/>
    </row>
    <row r="38" spans="1:17" ht="12.6" customHeight="1" x14ac:dyDescent="0.25">
      <c r="A38" s="12">
        <v>29</v>
      </c>
      <c r="B38" s="1"/>
      <c r="C38" s="21" t="s">
        <v>169</v>
      </c>
      <c r="D38" s="1" t="s">
        <v>116</v>
      </c>
      <c r="E38" s="19">
        <f>+E39+E40+E41+E42</f>
        <v>380.7</v>
      </c>
      <c r="F38" s="19">
        <f>+F39+F40+F41+F42</f>
        <v>372.7</v>
      </c>
      <c r="G38" s="136"/>
      <c r="H38" s="136"/>
      <c r="I38" s="136"/>
      <c r="J38" s="136"/>
      <c r="K38" s="136"/>
      <c r="L38" s="4"/>
      <c r="M38" s="4"/>
      <c r="N38" s="4"/>
      <c r="O38" s="4"/>
      <c r="P38" s="4"/>
      <c r="Q38" s="4"/>
    </row>
    <row r="39" spans="1:17" ht="24.9" customHeight="1" x14ac:dyDescent="0.25">
      <c r="A39" s="65" t="s">
        <v>174</v>
      </c>
      <c r="B39" s="66"/>
      <c r="C39" s="22" t="s">
        <v>257</v>
      </c>
      <c r="D39" s="1"/>
      <c r="E39" s="19">
        <f>208.2-0.4</f>
        <v>207.79999999999998</v>
      </c>
      <c r="F39" s="19">
        <f>205.2-0.4</f>
        <v>204.79999999999998</v>
      </c>
      <c r="G39" s="136"/>
      <c r="H39" s="136"/>
      <c r="I39" s="136"/>
      <c r="J39" s="136"/>
      <c r="K39" s="136"/>
      <c r="L39" s="4"/>
      <c r="M39" s="4"/>
      <c r="N39" s="4"/>
      <c r="O39" s="4"/>
      <c r="P39" s="4"/>
      <c r="Q39" s="4"/>
    </row>
    <row r="40" spans="1:17" ht="12.6" customHeight="1" x14ac:dyDescent="0.25">
      <c r="A40" s="65" t="s">
        <v>175</v>
      </c>
      <c r="B40" s="66"/>
      <c r="C40" s="22" t="s">
        <v>256</v>
      </c>
      <c r="D40" s="1"/>
      <c r="E40" s="19">
        <f>9.4-1.6</f>
        <v>7.8000000000000007</v>
      </c>
      <c r="F40" s="19">
        <f>9.3-1.6</f>
        <v>7.7000000000000011</v>
      </c>
      <c r="G40" s="136"/>
      <c r="H40" s="136"/>
      <c r="I40" s="136"/>
      <c r="J40" s="136"/>
      <c r="K40" s="136"/>
      <c r="L40" s="4"/>
      <c r="M40" s="4"/>
      <c r="N40" s="4"/>
      <c r="O40" s="4"/>
      <c r="P40" s="4"/>
      <c r="Q40" s="4"/>
    </row>
    <row r="41" spans="1:17" ht="12.6" customHeight="1" x14ac:dyDescent="0.25">
      <c r="A41" s="65" t="s">
        <v>176</v>
      </c>
      <c r="B41" s="66"/>
      <c r="C41" s="22" t="s">
        <v>258</v>
      </c>
      <c r="D41" s="1"/>
      <c r="E41" s="19">
        <f>95.8+2.8</f>
        <v>98.6</v>
      </c>
      <c r="F41" s="19">
        <f>93+2.7</f>
        <v>95.7</v>
      </c>
      <c r="G41" s="136"/>
      <c r="H41" s="136"/>
      <c r="I41" s="136"/>
      <c r="J41" s="136"/>
      <c r="K41" s="136"/>
      <c r="L41" s="4"/>
      <c r="M41" s="4"/>
      <c r="N41" s="4"/>
      <c r="O41" s="4"/>
      <c r="P41" s="4"/>
      <c r="Q41" s="4"/>
    </row>
    <row r="42" spans="1:17" ht="12.6" customHeight="1" x14ac:dyDescent="0.25">
      <c r="A42" s="65" t="s">
        <v>177</v>
      </c>
      <c r="B42" s="67"/>
      <c r="C42" s="22" t="s">
        <v>259</v>
      </c>
      <c r="D42" s="1"/>
      <c r="E42" s="19">
        <f>70.6-4.1</f>
        <v>66.5</v>
      </c>
      <c r="F42" s="19">
        <f>68.5-4</f>
        <v>64.5</v>
      </c>
      <c r="G42" s="136"/>
      <c r="H42" s="136"/>
      <c r="I42" s="136"/>
      <c r="J42" s="136"/>
      <c r="K42" s="136"/>
      <c r="L42" s="4"/>
      <c r="M42" s="4"/>
      <c r="N42" s="4"/>
      <c r="O42" s="4"/>
      <c r="P42" s="4"/>
      <c r="Q42" s="4"/>
    </row>
    <row r="43" spans="1:17" ht="12.6" customHeight="1" x14ac:dyDescent="0.25">
      <c r="A43" s="12">
        <v>30</v>
      </c>
      <c r="B43" s="1"/>
      <c r="C43" s="122" t="s">
        <v>15</v>
      </c>
      <c r="D43" s="1" t="s">
        <v>52</v>
      </c>
      <c r="E43" s="19">
        <f>129.2+2.4</f>
        <v>131.6</v>
      </c>
      <c r="F43" s="19">
        <f>125.4+2.3</f>
        <v>127.7</v>
      </c>
      <c r="G43" s="136"/>
      <c r="H43" s="136"/>
      <c r="I43" s="136"/>
      <c r="J43" s="136"/>
      <c r="K43" s="136"/>
      <c r="L43" s="4"/>
      <c r="M43" s="4"/>
      <c r="N43" s="4"/>
      <c r="O43" s="4"/>
      <c r="P43" s="4"/>
      <c r="Q43" s="4"/>
    </row>
    <row r="44" spans="1:17" ht="12.6" customHeight="1" x14ac:dyDescent="0.25">
      <c r="A44" s="12">
        <v>31</v>
      </c>
      <c r="B44" s="1"/>
      <c r="C44" s="122" t="s">
        <v>170</v>
      </c>
      <c r="D44" s="1" t="s">
        <v>52</v>
      </c>
      <c r="E44" s="19">
        <f>93.1-0.8</f>
        <v>92.3</v>
      </c>
      <c r="F44" s="19">
        <f>90.2-0.7</f>
        <v>89.5</v>
      </c>
      <c r="G44" s="136"/>
      <c r="H44" s="136"/>
      <c r="I44" s="136"/>
      <c r="J44" s="136"/>
      <c r="K44" s="136"/>
      <c r="L44" s="4"/>
      <c r="M44" s="4"/>
      <c r="N44" s="4"/>
      <c r="O44" s="4"/>
      <c r="P44" s="4"/>
      <c r="Q44" s="4"/>
    </row>
    <row r="45" spans="1:17" ht="26.4" x14ac:dyDescent="0.25">
      <c r="A45" s="12">
        <v>32</v>
      </c>
      <c r="B45" s="14" t="s">
        <v>181</v>
      </c>
      <c r="C45" s="62" t="s">
        <v>111</v>
      </c>
      <c r="D45" s="66"/>
      <c r="E45" s="34">
        <f>+E46</f>
        <v>558.70000000000005</v>
      </c>
      <c r="F45" s="34">
        <f>+F46</f>
        <v>470.9</v>
      </c>
      <c r="G45" s="137"/>
      <c r="H45" s="136"/>
      <c r="I45" s="136"/>
      <c r="J45" s="140"/>
      <c r="K45" s="140"/>
      <c r="L45" s="4"/>
      <c r="M45" s="4"/>
      <c r="N45" s="4"/>
      <c r="O45" s="4"/>
      <c r="P45" s="4"/>
      <c r="Q45" s="4"/>
    </row>
    <row r="46" spans="1:17" ht="12.6" customHeight="1" x14ac:dyDescent="0.25">
      <c r="A46" s="12">
        <v>33</v>
      </c>
      <c r="B46" s="1"/>
      <c r="C46" s="21" t="s">
        <v>260</v>
      </c>
      <c r="D46" s="32" t="s">
        <v>55</v>
      </c>
      <c r="E46" s="19">
        <v>558.70000000000005</v>
      </c>
      <c r="F46" s="19">
        <v>470.9</v>
      </c>
      <c r="G46" s="136"/>
      <c r="H46" s="136"/>
      <c r="I46" s="136"/>
      <c r="J46" s="136"/>
      <c r="K46" s="136"/>
      <c r="L46" s="4"/>
      <c r="M46" s="4"/>
      <c r="N46" s="4"/>
      <c r="O46" s="4"/>
      <c r="P46" s="4"/>
      <c r="Q46" s="4"/>
    </row>
    <row r="47" spans="1:17" ht="18" customHeight="1" x14ac:dyDescent="0.25">
      <c r="A47" s="12">
        <v>34</v>
      </c>
      <c r="B47" s="11" t="s">
        <v>63</v>
      </c>
      <c r="C47" s="17" t="s">
        <v>110</v>
      </c>
      <c r="D47" s="23"/>
      <c r="E47" s="27">
        <f>E49</f>
        <v>54.1</v>
      </c>
      <c r="F47" s="27">
        <f>F49</f>
        <v>53.300000000000004</v>
      </c>
      <c r="G47" s="138"/>
      <c r="H47" s="136"/>
      <c r="I47" s="136"/>
      <c r="J47" s="140"/>
      <c r="K47" s="140"/>
      <c r="L47" s="4"/>
      <c r="M47" s="4"/>
      <c r="N47" s="4"/>
      <c r="O47" s="4"/>
      <c r="P47" s="4"/>
      <c r="Q47" s="4"/>
    </row>
    <row r="48" spans="1:17" ht="12.6" customHeight="1" x14ac:dyDescent="0.25">
      <c r="A48" s="12">
        <v>35</v>
      </c>
      <c r="B48" s="14" t="s">
        <v>193</v>
      </c>
      <c r="C48" s="62" t="s">
        <v>167</v>
      </c>
      <c r="D48" s="23"/>
      <c r="E48" s="63">
        <f>+E49</f>
        <v>54.1</v>
      </c>
      <c r="F48" s="63">
        <f>+F49</f>
        <v>53.300000000000004</v>
      </c>
      <c r="G48" s="135"/>
      <c r="H48" s="136"/>
      <c r="I48" s="136"/>
      <c r="J48" s="140"/>
      <c r="K48" s="140"/>
      <c r="L48" s="4"/>
      <c r="M48" s="4"/>
      <c r="N48" s="4"/>
      <c r="O48" s="4"/>
      <c r="P48" s="4"/>
      <c r="Q48" s="4"/>
    </row>
    <row r="49" spans="1:17" ht="12.6" customHeight="1" x14ac:dyDescent="0.25">
      <c r="A49" s="12">
        <v>36</v>
      </c>
      <c r="B49" s="18"/>
      <c r="C49" s="21" t="s">
        <v>78</v>
      </c>
      <c r="D49" s="1" t="s">
        <v>56</v>
      </c>
      <c r="E49" s="19">
        <f>52.9+1.2</f>
        <v>54.1</v>
      </c>
      <c r="F49" s="19">
        <f>52.1+1.2</f>
        <v>53.300000000000004</v>
      </c>
      <c r="G49" s="136"/>
      <c r="H49" s="136"/>
      <c r="I49" s="136"/>
      <c r="J49" s="136"/>
      <c r="K49" s="136"/>
      <c r="L49" s="4"/>
      <c r="M49" s="4"/>
      <c r="N49" s="4"/>
      <c r="O49" s="4"/>
      <c r="P49" s="4"/>
      <c r="Q49" s="4"/>
    </row>
    <row r="50" spans="1:17" ht="12.75" customHeight="1" x14ac:dyDescent="0.25">
      <c r="A50" s="12">
        <v>37</v>
      </c>
      <c r="B50" s="11"/>
      <c r="C50" s="50" t="s">
        <v>20</v>
      </c>
      <c r="D50" s="1"/>
      <c r="E50" s="44">
        <f>+E10+E47</f>
        <v>17424.299999999992</v>
      </c>
      <c r="F50" s="44">
        <f>+F10+F47</f>
        <v>16665.2</v>
      </c>
      <c r="G50" s="139"/>
      <c r="H50" s="139"/>
      <c r="I50" s="139"/>
      <c r="J50" s="4"/>
      <c r="K50" s="4"/>
      <c r="L50" s="4"/>
      <c r="M50" s="4"/>
      <c r="N50" s="4"/>
      <c r="O50" s="4"/>
      <c r="P50" s="4"/>
      <c r="Q50" s="4"/>
    </row>
    <row r="51" spans="1:17" ht="12.75" customHeight="1" x14ac:dyDescent="0.25">
      <c r="A51" s="5"/>
      <c r="B51" s="68"/>
      <c r="C51" s="69"/>
      <c r="D51" s="7"/>
      <c r="E51" s="141"/>
      <c r="F51" s="141"/>
      <c r="G51" s="70"/>
      <c r="H51" s="70"/>
      <c r="I51" s="70"/>
      <c r="J51" s="4"/>
      <c r="K51" s="4"/>
      <c r="L51" s="4"/>
      <c r="M51" s="4"/>
      <c r="N51" s="4"/>
      <c r="O51" s="4"/>
      <c r="P51" s="4"/>
      <c r="Q51" s="4"/>
    </row>
    <row r="52" spans="1:17" x14ac:dyDescent="0.25">
      <c r="C52" s="55" t="s">
        <v>79</v>
      </c>
      <c r="D52" s="7"/>
      <c r="E52" s="20"/>
      <c r="F52" s="20"/>
      <c r="G52" s="20"/>
      <c r="H52" s="20"/>
      <c r="I52" s="20"/>
    </row>
    <row r="53" spans="1:17" x14ac:dyDescent="0.25">
      <c r="E53" s="20"/>
      <c r="F53" s="20"/>
      <c r="G53" s="20"/>
      <c r="H53" s="20"/>
      <c r="I53" s="20"/>
    </row>
    <row r="54" spans="1:17" x14ac:dyDescent="0.25">
      <c r="E54" s="48"/>
      <c r="F54" s="48"/>
      <c r="G54" s="48"/>
      <c r="H54" s="48"/>
      <c r="I54" s="48"/>
    </row>
    <row r="55" spans="1:17" x14ac:dyDescent="0.25">
      <c r="E55" s="48"/>
      <c r="F55" s="48"/>
      <c r="G55" s="48"/>
      <c r="H55" s="48"/>
      <c r="I55" s="48"/>
    </row>
    <row r="56" spans="1:17" x14ac:dyDescent="0.25">
      <c r="E56" s="48"/>
      <c r="F56" s="48"/>
      <c r="G56" s="48"/>
      <c r="H56" s="48"/>
      <c r="I56" s="48"/>
    </row>
    <row r="57" spans="1:17" x14ac:dyDescent="0.25">
      <c r="E57" s="48"/>
      <c r="F57" s="48"/>
      <c r="G57" s="48"/>
      <c r="H57" s="48"/>
      <c r="I57" s="48"/>
      <c r="J57" s="48"/>
      <c r="K57" s="48"/>
      <c r="L57" s="48"/>
      <c r="M57" s="48"/>
    </row>
    <row r="58" spans="1:17" x14ac:dyDescent="0.25">
      <c r="C58" s="3"/>
      <c r="E58" s="20"/>
      <c r="F58" s="20"/>
      <c r="G58" s="20"/>
      <c r="H58" s="20"/>
      <c r="I58" s="20"/>
    </row>
    <row r="59" spans="1:17" x14ac:dyDescent="0.25">
      <c r="E59" s="3"/>
      <c r="F59" s="3"/>
      <c r="G59" s="3"/>
      <c r="H59" s="3"/>
      <c r="I59" s="3"/>
    </row>
    <row r="60" spans="1:17" x14ac:dyDescent="0.25">
      <c r="E60" s="48"/>
      <c r="F60" s="48"/>
      <c r="G60" s="48"/>
      <c r="H60" s="48"/>
      <c r="I60" s="48"/>
    </row>
    <row r="61" spans="1:17" x14ac:dyDescent="0.25">
      <c r="E61" s="48"/>
      <c r="F61" s="48"/>
      <c r="G61" s="48"/>
      <c r="H61" s="48"/>
      <c r="I61" s="48"/>
    </row>
    <row r="62" spans="1:17" x14ac:dyDescent="0.25">
      <c r="E62" s="3"/>
      <c r="F62" s="3"/>
      <c r="G62" s="3"/>
      <c r="H62" s="3"/>
      <c r="I62" s="3"/>
    </row>
    <row r="63" spans="1:17" x14ac:dyDescent="0.25">
      <c r="E63" s="48"/>
      <c r="F63" s="48"/>
      <c r="G63" s="48"/>
      <c r="H63" s="48"/>
      <c r="I63" s="48"/>
    </row>
    <row r="64" spans="1:17" x14ac:dyDescent="0.25">
      <c r="E64" s="3"/>
      <c r="F64" s="3"/>
      <c r="G64" s="3"/>
      <c r="H64" s="3"/>
      <c r="I64" s="3"/>
    </row>
    <row r="65" spans="5:9" x14ac:dyDescent="0.25">
      <c r="E65" s="3"/>
      <c r="F65" s="3"/>
      <c r="G65" s="3"/>
      <c r="H65" s="3"/>
      <c r="I65" s="3"/>
    </row>
  </sheetData>
  <mergeCells count="4">
    <mergeCell ref="C1:F1"/>
    <mergeCell ref="C2:F2"/>
    <mergeCell ref="E3:F3"/>
    <mergeCell ref="A5:F5"/>
  </mergeCells>
  <pageMargins left="0.59055118110236227" right="0.70866141732283472" top="0.39370078740157483" bottom="0.19685039370078741" header="0.31496062992125984" footer="0.31496062992125984"/>
  <pageSetup paperSize="9" orientation="portrait" r:id="rId1"/>
</worksheet>
</file>

<file path=xl/worksheets/sheet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L197"/>
  <sheetViews>
    <sheetView tabSelected="1" workbookViewId="0">
      <selection activeCell="I5" sqref="I5"/>
    </sheetView>
  </sheetViews>
  <sheetFormatPr defaultColWidth="9.109375" defaultRowHeight="13.2" x14ac:dyDescent="0.25"/>
  <cols>
    <col min="1" max="1" width="4.6640625" style="3" customWidth="1"/>
    <col min="2" max="2" width="7" style="7" customWidth="1"/>
    <col min="3" max="3" width="48.109375" style="55" customWidth="1"/>
    <col min="4" max="4" width="10.5546875" style="6" customWidth="1"/>
    <col min="5" max="5" width="10.44140625" style="5" customWidth="1"/>
    <col min="6" max="6" width="11.33203125" style="5" customWidth="1"/>
    <col min="7" max="8" width="9.109375" style="4"/>
    <col min="9" max="16384" width="9.109375" style="2"/>
  </cols>
  <sheetData>
    <row r="1" spans="1:8" ht="15.6" x14ac:dyDescent="0.3">
      <c r="C1" s="149" t="s">
        <v>268</v>
      </c>
      <c r="D1" s="149"/>
      <c r="E1" s="149"/>
      <c r="F1" s="149"/>
    </row>
    <row r="2" spans="1:8" ht="15" customHeight="1" x14ac:dyDescent="0.3">
      <c r="C2" s="149" t="s">
        <v>427</v>
      </c>
      <c r="D2" s="149"/>
      <c r="E2" s="149"/>
      <c r="F2" s="149"/>
    </row>
    <row r="3" spans="1:8" ht="15.6" x14ac:dyDescent="0.3">
      <c r="C3" s="26"/>
      <c r="D3" s="26"/>
      <c r="E3" s="150" t="s">
        <v>267</v>
      </c>
      <c r="F3" s="150"/>
    </row>
    <row r="4" spans="1:8" ht="15.6" x14ac:dyDescent="0.25">
      <c r="E4" s="37"/>
      <c r="F4" s="37"/>
    </row>
    <row r="5" spans="1:8" ht="35.25" customHeight="1" x14ac:dyDescent="0.25">
      <c r="A5" s="153" t="s">
        <v>263</v>
      </c>
      <c r="B5" s="153"/>
      <c r="C5" s="153"/>
      <c r="D5" s="153"/>
      <c r="E5" s="153"/>
      <c r="F5" s="153"/>
    </row>
    <row r="6" spans="1:8" x14ac:dyDescent="0.25">
      <c r="A6" s="29"/>
      <c r="B6" s="29"/>
      <c r="C6" s="29"/>
      <c r="D6" s="29"/>
      <c r="E6" s="29"/>
      <c r="F6" s="29"/>
    </row>
    <row r="7" spans="1:8" x14ac:dyDescent="0.25">
      <c r="A7" s="57"/>
      <c r="B7" s="58"/>
      <c r="C7" s="59"/>
      <c r="D7" s="60"/>
      <c r="E7" s="61"/>
      <c r="F7" s="61"/>
    </row>
    <row r="8" spans="1:8" ht="39.6" x14ac:dyDescent="0.25">
      <c r="A8" s="8" t="s">
        <v>81</v>
      </c>
      <c r="B8" s="9" t="s">
        <v>264</v>
      </c>
      <c r="C8" s="8" t="s">
        <v>16</v>
      </c>
      <c r="D8" s="9" t="s">
        <v>49</v>
      </c>
      <c r="E8" s="8" t="s">
        <v>17</v>
      </c>
      <c r="F8" s="8" t="s">
        <v>29</v>
      </c>
    </row>
    <row r="9" spans="1:8" s="45" customFormat="1" ht="12.75" customHeight="1" x14ac:dyDescent="0.25">
      <c r="A9" s="10">
        <v>1</v>
      </c>
      <c r="B9" s="11" t="s">
        <v>18</v>
      </c>
      <c r="C9" s="8">
        <v>3</v>
      </c>
      <c r="D9" s="9">
        <v>4</v>
      </c>
      <c r="E9" s="8">
        <v>5</v>
      </c>
      <c r="F9" s="8">
        <v>6</v>
      </c>
      <c r="G9" s="54"/>
      <c r="H9" s="54"/>
    </row>
    <row r="10" spans="1:8" s="45" customFormat="1" ht="18" customHeight="1" x14ac:dyDescent="0.25">
      <c r="A10" s="12">
        <v>1</v>
      </c>
      <c r="B10" s="11" t="s">
        <v>50</v>
      </c>
      <c r="C10" s="13" t="s">
        <v>51</v>
      </c>
      <c r="D10" s="8"/>
      <c r="E10" s="46">
        <f>+E11+E14+E29+E86+E52+E54+E77+E79+E82</f>
        <v>1278.2</v>
      </c>
      <c r="F10" s="46">
        <f>+F11+F14+F29+F86+F52+F54+F77+F79+F82</f>
        <v>351.69999999999993</v>
      </c>
      <c r="G10" s="54"/>
      <c r="H10" s="54"/>
    </row>
    <row r="11" spans="1:8" ht="14.4" customHeight="1" x14ac:dyDescent="0.25">
      <c r="A11" s="12">
        <v>2</v>
      </c>
      <c r="B11" s="14" t="s">
        <v>180</v>
      </c>
      <c r="C11" s="62" t="s">
        <v>190</v>
      </c>
      <c r="D11" s="18"/>
      <c r="E11" s="34">
        <f>+E12+E13</f>
        <v>270.90000000000003</v>
      </c>
      <c r="F11" s="34">
        <f>+F12+F13</f>
        <v>8</v>
      </c>
    </row>
    <row r="12" spans="1:8" ht="12.6" customHeight="1" x14ac:dyDescent="0.25">
      <c r="A12" s="12">
        <v>3</v>
      </c>
      <c r="B12" s="1"/>
      <c r="C12" s="52" t="s">
        <v>113</v>
      </c>
      <c r="D12" s="14" t="s">
        <v>171</v>
      </c>
      <c r="E12" s="19">
        <v>262.8</v>
      </c>
      <c r="F12" s="19"/>
    </row>
    <row r="13" spans="1:8" ht="12.6" customHeight="1" x14ac:dyDescent="0.25">
      <c r="A13" s="12">
        <v>4</v>
      </c>
      <c r="B13" s="1"/>
      <c r="C13" s="16" t="s">
        <v>178</v>
      </c>
      <c r="D13" s="14" t="s">
        <v>179</v>
      </c>
      <c r="E13" s="19">
        <v>8.1</v>
      </c>
      <c r="F13" s="19">
        <v>8</v>
      </c>
    </row>
    <row r="14" spans="1:8" ht="52.8" x14ac:dyDescent="0.25">
      <c r="A14" s="12">
        <v>5</v>
      </c>
      <c r="B14" s="14" t="s">
        <v>181</v>
      </c>
      <c r="C14" s="62" t="s">
        <v>270</v>
      </c>
      <c r="D14" s="18"/>
      <c r="E14" s="34">
        <f>SUM(E15:E28)</f>
        <v>31.199999999999996</v>
      </c>
      <c r="F14" s="34">
        <f>SUM(F15:F28)</f>
        <v>31.199999999999996</v>
      </c>
    </row>
    <row r="15" spans="1:8" ht="12.6" customHeight="1" x14ac:dyDescent="0.25">
      <c r="A15" s="12">
        <v>6</v>
      </c>
      <c r="B15" s="1"/>
      <c r="C15" s="24" t="s">
        <v>44</v>
      </c>
      <c r="D15" s="1" t="s">
        <v>54</v>
      </c>
      <c r="E15" s="19">
        <v>2.4</v>
      </c>
      <c r="F15" s="19">
        <v>2.4</v>
      </c>
    </row>
    <row r="16" spans="1:8" ht="12.6" customHeight="1" x14ac:dyDescent="0.25">
      <c r="A16" s="12">
        <v>7</v>
      </c>
      <c r="B16" s="1"/>
      <c r="C16" s="15" t="s">
        <v>86</v>
      </c>
      <c r="D16" s="1" t="s">
        <v>54</v>
      </c>
      <c r="E16" s="19">
        <v>2.4</v>
      </c>
      <c r="F16" s="19">
        <v>2.4</v>
      </c>
    </row>
    <row r="17" spans="1:6" ht="12.6" customHeight="1" x14ac:dyDescent="0.25">
      <c r="A17" s="12">
        <v>8</v>
      </c>
      <c r="B17" s="1"/>
      <c r="C17" s="15" t="s">
        <v>87</v>
      </c>
      <c r="D17" s="1" t="s">
        <v>54</v>
      </c>
      <c r="E17" s="19">
        <v>2.4</v>
      </c>
      <c r="F17" s="19">
        <v>2.4</v>
      </c>
    </row>
    <row r="18" spans="1:6" ht="12.6" customHeight="1" x14ac:dyDescent="0.25">
      <c r="A18" s="12">
        <v>9</v>
      </c>
      <c r="B18" s="1"/>
      <c r="C18" s="15" t="s">
        <v>39</v>
      </c>
      <c r="D18" s="1" t="s">
        <v>54</v>
      </c>
      <c r="E18" s="19">
        <v>2.4</v>
      </c>
      <c r="F18" s="19">
        <v>2.4</v>
      </c>
    </row>
    <row r="19" spans="1:6" ht="12.6" customHeight="1" x14ac:dyDescent="0.25">
      <c r="A19" s="12">
        <v>10</v>
      </c>
      <c r="B19" s="1"/>
      <c r="C19" s="24" t="s">
        <v>90</v>
      </c>
      <c r="D19" s="1" t="s">
        <v>54</v>
      </c>
      <c r="E19" s="19">
        <v>2.4</v>
      </c>
      <c r="F19" s="19">
        <v>2.4</v>
      </c>
    </row>
    <row r="20" spans="1:6" ht="12.6" customHeight="1" x14ac:dyDescent="0.25">
      <c r="A20" s="12">
        <v>11</v>
      </c>
      <c r="B20" s="1"/>
      <c r="C20" s="15" t="s">
        <v>101</v>
      </c>
      <c r="D20" s="1" t="s">
        <v>55</v>
      </c>
      <c r="E20" s="19">
        <v>2.4</v>
      </c>
      <c r="F20" s="19">
        <v>2.4</v>
      </c>
    </row>
    <row r="21" spans="1:6" ht="12.6" customHeight="1" x14ac:dyDescent="0.25">
      <c r="A21" s="12">
        <v>12</v>
      </c>
      <c r="B21" s="1"/>
      <c r="C21" s="24" t="s">
        <v>102</v>
      </c>
      <c r="D21" s="14" t="s">
        <v>115</v>
      </c>
      <c r="E21" s="19">
        <v>2.4</v>
      </c>
      <c r="F21" s="19">
        <v>2.4</v>
      </c>
    </row>
    <row r="22" spans="1:6" ht="12.6" customHeight="1" x14ac:dyDescent="0.25">
      <c r="A22" s="12">
        <v>13</v>
      </c>
      <c r="B22" s="1"/>
      <c r="C22" s="15" t="s">
        <v>83</v>
      </c>
      <c r="D22" s="14" t="s">
        <v>115</v>
      </c>
      <c r="E22" s="19">
        <v>2.4</v>
      </c>
      <c r="F22" s="19">
        <v>2.4</v>
      </c>
    </row>
    <row r="23" spans="1:6" ht="12.6" customHeight="1" x14ac:dyDescent="0.25">
      <c r="A23" s="12">
        <v>14</v>
      </c>
      <c r="B23" s="1"/>
      <c r="C23" s="15" t="s">
        <v>88</v>
      </c>
      <c r="D23" s="1" t="s">
        <v>55</v>
      </c>
      <c r="E23" s="19">
        <v>1.8</v>
      </c>
      <c r="F23" s="19">
        <v>1.8</v>
      </c>
    </row>
    <row r="24" spans="1:6" ht="12.6" customHeight="1" x14ac:dyDescent="0.25">
      <c r="A24" s="12">
        <v>15</v>
      </c>
      <c r="B24" s="1"/>
      <c r="C24" s="15" t="s">
        <v>41</v>
      </c>
      <c r="D24" s="1" t="s">
        <v>55</v>
      </c>
      <c r="E24" s="19">
        <v>1.8</v>
      </c>
      <c r="F24" s="19">
        <v>1.8</v>
      </c>
    </row>
    <row r="25" spans="1:6" ht="26.4" x14ac:dyDescent="0.25">
      <c r="A25" s="12">
        <v>16</v>
      </c>
      <c r="B25" s="1"/>
      <c r="C25" s="15" t="s">
        <v>77</v>
      </c>
      <c r="D25" s="14" t="s">
        <v>168</v>
      </c>
      <c r="E25" s="19">
        <v>2.4</v>
      </c>
      <c r="F25" s="19">
        <v>2.4</v>
      </c>
    </row>
    <row r="26" spans="1:6" x14ac:dyDescent="0.25">
      <c r="A26" s="12">
        <v>17</v>
      </c>
      <c r="B26" s="1"/>
      <c r="C26" s="24" t="s">
        <v>48</v>
      </c>
      <c r="D26" s="1" t="s">
        <v>56</v>
      </c>
      <c r="E26" s="19">
        <v>1.2</v>
      </c>
      <c r="F26" s="19">
        <v>1.2</v>
      </c>
    </row>
    <row r="27" spans="1:6" x14ac:dyDescent="0.25">
      <c r="A27" s="12">
        <v>18</v>
      </c>
      <c r="B27" s="1"/>
      <c r="C27" s="24" t="s">
        <v>45</v>
      </c>
      <c r="D27" s="1" t="s">
        <v>56</v>
      </c>
      <c r="E27" s="19">
        <v>2.4</v>
      </c>
      <c r="F27" s="19">
        <v>2.4</v>
      </c>
    </row>
    <row r="28" spans="1:6" x14ac:dyDescent="0.25">
      <c r="A28" s="12">
        <v>19</v>
      </c>
      <c r="B28" s="1"/>
      <c r="C28" s="24" t="s">
        <v>46</v>
      </c>
      <c r="D28" s="1" t="s">
        <v>56</v>
      </c>
      <c r="E28" s="19">
        <v>2.4</v>
      </c>
      <c r="F28" s="19">
        <v>2.4</v>
      </c>
    </row>
    <row r="29" spans="1:6" ht="39.6" x14ac:dyDescent="0.25">
      <c r="A29" s="12">
        <v>20</v>
      </c>
      <c r="B29" s="1" t="s">
        <v>182</v>
      </c>
      <c r="C29" s="123" t="s">
        <v>338</v>
      </c>
      <c r="D29" s="14"/>
      <c r="E29" s="34">
        <f>SUM(E30:E51)</f>
        <v>208.99999999999997</v>
      </c>
      <c r="F29" s="34">
        <f>SUM(F30:F51)</f>
        <v>205.99999999999997</v>
      </c>
    </row>
    <row r="30" spans="1:6" x14ac:dyDescent="0.25">
      <c r="A30" s="12">
        <v>21</v>
      </c>
      <c r="B30" s="1"/>
      <c r="C30" s="24" t="s">
        <v>104</v>
      </c>
      <c r="D30" s="1" t="s">
        <v>52</v>
      </c>
      <c r="E30" s="19">
        <v>20.100000000000001</v>
      </c>
      <c r="F30" s="19">
        <v>19.8</v>
      </c>
    </row>
    <row r="31" spans="1:6" x14ac:dyDescent="0.25">
      <c r="A31" s="12">
        <v>22</v>
      </c>
      <c r="B31" s="1"/>
      <c r="C31" s="24" t="s">
        <v>95</v>
      </c>
      <c r="D31" s="1" t="s">
        <v>52</v>
      </c>
      <c r="E31" s="19">
        <v>17.899999999999999</v>
      </c>
      <c r="F31" s="19">
        <v>17.600000000000001</v>
      </c>
    </row>
    <row r="32" spans="1:6" x14ac:dyDescent="0.25">
      <c r="A32" s="12">
        <v>23</v>
      </c>
      <c r="B32" s="1"/>
      <c r="C32" s="24" t="s">
        <v>96</v>
      </c>
      <c r="D32" s="1" t="s">
        <v>52</v>
      </c>
      <c r="E32" s="19">
        <v>13.4</v>
      </c>
      <c r="F32" s="19">
        <v>13.2</v>
      </c>
    </row>
    <row r="33" spans="1:6" x14ac:dyDescent="0.25">
      <c r="A33" s="12">
        <v>24</v>
      </c>
      <c r="B33" s="1"/>
      <c r="C33" s="24" t="s">
        <v>100</v>
      </c>
      <c r="D33" s="1" t="s">
        <v>52</v>
      </c>
      <c r="E33" s="19">
        <v>9.1999999999999993</v>
      </c>
      <c r="F33" s="19">
        <v>9.1</v>
      </c>
    </row>
    <row r="34" spans="1:6" x14ac:dyDescent="0.25">
      <c r="A34" s="12">
        <v>25</v>
      </c>
      <c r="B34" s="1"/>
      <c r="C34" s="24" t="s">
        <v>97</v>
      </c>
      <c r="D34" s="1" t="s">
        <v>52</v>
      </c>
      <c r="E34" s="19">
        <v>14.5</v>
      </c>
      <c r="F34" s="19">
        <v>14.3</v>
      </c>
    </row>
    <row r="35" spans="1:6" x14ac:dyDescent="0.25">
      <c r="A35" s="12">
        <v>26</v>
      </c>
      <c r="B35" s="1"/>
      <c r="C35" s="24" t="s">
        <v>98</v>
      </c>
      <c r="D35" s="1" t="s">
        <v>52</v>
      </c>
      <c r="E35" s="19">
        <v>24.8</v>
      </c>
      <c r="F35" s="19">
        <v>24.5</v>
      </c>
    </row>
    <row r="36" spans="1:6" x14ac:dyDescent="0.25">
      <c r="A36" s="12">
        <v>27</v>
      </c>
      <c r="B36" s="1"/>
      <c r="C36" s="24" t="s">
        <v>99</v>
      </c>
      <c r="D36" s="1" t="s">
        <v>52</v>
      </c>
      <c r="E36" s="19">
        <v>17.7</v>
      </c>
      <c r="F36" s="19">
        <v>17.399999999999999</v>
      </c>
    </row>
    <row r="37" spans="1:6" x14ac:dyDescent="0.25">
      <c r="A37" s="12">
        <v>28</v>
      </c>
      <c r="B37" s="1"/>
      <c r="C37" s="15" t="s">
        <v>108</v>
      </c>
      <c r="D37" s="1" t="s">
        <v>53</v>
      </c>
      <c r="E37" s="19">
        <v>20.9</v>
      </c>
      <c r="F37" s="19">
        <v>20.6</v>
      </c>
    </row>
    <row r="38" spans="1:6" x14ac:dyDescent="0.25">
      <c r="A38" s="12">
        <v>29</v>
      </c>
      <c r="B38" s="1"/>
      <c r="C38" s="15" t="s">
        <v>86</v>
      </c>
      <c r="D38" s="1" t="s">
        <v>54</v>
      </c>
      <c r="E38" s="19">
        <v>11.3</v>
      </c>
      <c r="F38" s="19">
        <v>11.1</v>
      </c>
    </row>
    <row r="39" spans="1:6" x14ac:dyDescent="0.25">
      <c r="A39" s="12">
        <v>30</v>
      </c>
      <c r="B39" s="1"/>
      <c r="C39" s="15" t="s">
        <v>87</v>
      </c>
      <c r="D39" s="1" t="s">
        <v>54</v>
      </c>
      <c r="E39" s="19">
        <v>3.2</v>
      </c>
      <c r="F39" s="19">
        <v>3.2</v>
      </c>
    </row>
    <row r="40" spans="1:6" x14ac:dyDescent="0.25">
      <c r="A40" s="12">
        <v>31</v>
      </c>
      <c r="B40" s="1"/>
      <c r="C40" s="15" t="s">
        <v>39</v>
      </c>
      <c r="D40" s="1" t="s">
        <v>54</v>
      </c>
      <c r="E40" s="19">
        <v>11.2</v>
      </c>
      <c r="F40" s="19">
        <v>11</v>
      </c>
    </row>
    <row r="41" spans="1:6" x14ac:dyDescent="0.25">
      <c r="A41" s="12">
        <v>32</v>
      </c>
      <c r="B41" s="1"/>
      <c r="C41" s="24" t="s">
        <v>90</v>
      </c>
      <c r="D41" s="1" t="s">
        <v>54</v>
      </c>
      <c r="E41" s="19">
        <f>3.1+0.8</f>
        <v>3.9000000000000004</v>
      </c>
      <c r="F41" s="19">
        <f>3.1+0.8</f>
        <v>3.9000000000000004</v>
      </c>
    </row>
    <row r="42" spans="1:6" x14ac:dyDescent="0.25">
      <c r="A42" s="12">
        <v>33</v>
      </c>
      <c r="B42" s="1"/>
      <c r="C42" s="15" t="s">
        <v>101</v>
      </c>
      <c r="D42" s="1" t="s">
        <v>55</v>
      </c>
      <c r="E42" s="19">
        <v>4.3</v>
      </c>
      <c r="F42" s="19">
        <v>4.2</v>
      </c>
    </row>
    <row r="43" spans="1:6" x14ac:dyDescent="0.25">
      <c r="A43" s="12">
        <v>34</v>
      </c>
      <c r="B43" s="1"/>
      <c r="C43" s="24" t="s">
        <v>102</v>
      </c>
      <c r="D43" s="1" t="s">
        <v>55</v>
      </c>
      <c r="E43" s="19">
        <v>7.4</v>
      </c>
      <c r="F43" s="19">
        <v>7.3</v>
      </c>
    </row>
    <row r="44" spans="1:6" x14ac:dyDescent="0.25">
      <c r="A44" s="12">
        <v>35</v>
      </c>
      <c r="B44" s="1"/>
      <c r="C44" s="15" t="s">
        <v>83</v>
      </c>
      <c r="D44" s="1" t="s">
        <v>55</v>
      </c>
      <c r="E44" s="19">
        <v>4.2</v>
      </c>
      <c r="F44" s="19">
        <v>4.0999999999999996</v>
      </c>
    </row>
    <row r="45" spans="1:6" x14ac:dyDescent="0.25">
      <c r="A45" s="12">
        <v>36</v>
      </c>
      <c r="B45" s="1"/>
      <c r="C45" s="15" t="s">
        <v>40</v>
      </c>
      <c r="D45" s="1" t="s">
        <v>55</v>
      </c>
      <c r="E45" s="19">
        <v>0.7</v>
      </c>
      <c r="F45" s="19">
        <v>0.7</v>
      </c>
    </row>
    <row r="46" spans="1:6" x14ac:dyDescent="0.25">
      <c r="A46" s="12">
        <v>37</v>
      </c>
      <c r="B46" s="1"/>
      <c r="C46" s="15" t="s">
        <v>88</v>
      </c>
      <c r="D46" s="1" t="s">
        <v>55</v>
      </c>
      <c r="E46" s="19">
        <v>18.2</v>
      </c>
      <c r="F46" s="19">
        <v>17.899999999999999</v>
      </c>
    </row>
    <row r="47" spans="1:6" x14ac:dyDescent="0.25">
      <c r="A47" s="12">
        <v>38</v>
      </c>
      <c r="B47" s="1"/>
      <c r="C47" s="15" t="s">
        <v>93</v>
      </c>
      <c r="D47" s="1" t="s">
        <v>55</v>
      </c>
      <c r="E47" s="19">
        <v>1.4</v>
      </c>
      <c r="F47" s="19">
        <v>1.4</v>
      </c>
    </row>
    <row r="48" spans="1:6" x14ac:dyDescent="0.25">
      <c r="A48" s="12">
        <v>39</v>
      </c>
      <c r="B48" s="1"/>
      <c r="C48" s="15" t="s">
        <v>41</v>
      </c>
      <c r="D48" s="1" t="s">
        <v>55</v>
      </c>
      <c r="E48" s="19">
        <v>2.2000000000000002</v>
      </c>
      <c r="F48" s="19">
        <v>2.2000000000000002</v>
      </c>
    </row>
    <row r="49" spans="1:12" x14ac:dyDescent="0.25">
      <c r="A49" s="12">
        <v>40</v>
      </c>
      <c r="B49" s="1"/>
      <c r="C49" s="15" t="s">
        <v>89</v>
      </c>
      <c r="D49" s="1" t="s">
        <v>55</v>
      </c>
      <c r="E49" s="19">
        <f>0.8-0.8</f>
        <v>0</v>
      </c>
      <c r="F49" s="19">
        <f>0.8-0.8</f>
        <v>0</v>
      </c>
    </row>
    <row r="50" spans="1:12" x14ac:dyDescent="0.25">
      <c r="A50" s="12">
        <v>41</v>
      </c>
      <c r="B50" s="1"/>
      <c r="C50" s="115" t="s">
        <v>15</v>
      </c>
      <c r="D50" s="1" t="s">
        <v>52</v>
      </c>
      <c r="E50" s="19">
        <v>1.9</v>
      </c>
      <c r="F50" s="19">
        <v>1.9</v>
      </c>
      <c r="L50" s="31"/>
    </row>
    <row r="51" spans="1:12" x14ac:dyDescent="0.25">
      <c r="A51" s="12">
        <v>42</v>
      </c>
      <c r="B51" s="1"/>
      <c r="C51" s="115" t="s">
        <v>19</v>
      </c>
      <c r="D51" s="1" t="s">
        <v>52</v>
      </c>
      <c r="E51" s="19">
        <v>0.6</v>
      </c>
      <c r="F51" s="19">
        <v>0.6</v>
      </c>
    </row>
    <row r="52" spans="1:12" ht="39.6" x14ac:dyDescent="0.25">
      <c r="A52" s="12">
        <v>43</v>
      </c>
      <c r="B52" s="1" t="s">
        <v>330</v>
      </c>
      <c r="C52" s="110" t="s">
        <v>253</v>
      </c>
      <c r="D52" s="14"/>
      <c r="E52" s="19">
        <f>+E53</f>
        <v>3.2</v>
      </c>
      <c r="F52" s="19">
        <f>+F53</f>
        <v>0</v>
      </c>
    </row>
    <row r="53" spans="1:12" x14ac:dyDescent="0.25">
      <c r="A53" s="12">
        <v>44</v>
      </c>
      <c r="B53" s="1"/>
      <c r="C53" s="24" t="s">
        <v>98</v>
      </c>
      <c r="D53" s="1" t="s">
        <v>52</v>
      </c>
      <c r="E53" s="19">
        <v>3.2</v>
      </c>
      <c r="F53" s="19"/>
    </row>
    <row r="54" spans="1:12" ht="39.6" x14ac:dyDescent="0.25">
      <c r="A54" s="12">
        <v>45</v>
      </c>
      <c r="B54" s="1" t="s">
        <v>331</v>
      </c>
      <c r="C54" s="110" t="s">
        <v>378</v>
      </c>
      <c r="D54" s="1"/>
      <c r="E54" s="19">
        <f>SUM(E55:E76)</f>
        <v>101.10000000000001</v>
      </c>
      <c r="F54" s="19">
        <f>SUM(F55:F76)</f>
        <v>99.6</v>
      </c>
    </row>
    <row r="55" spans="1:12" x14ac:dyDescent="0.25">
      <c r="A55" s="12">
        <v>46</v>
      </c>
      <c r="B55" s="1"/>
      <c r="C55" s="24" t="s">
        <v>104</v>
      </c>
      <c r="D55" s="1" t="s">
        <v>52</v>
      </c>
      <c r="E55" s="19">
        <f>0.4+0.5+0.5+2.2+1</f>
        <v>4.5999999999999996</v>
      </c>
      <c r="F55" s="19">
        <f>0.4+0.5+0.4+2.2+1</f>
        <v>4.5</v>
      </c>
      <c r="G55" s="20"/>
    </row>
    <row r="56" spans="1:12" x14ac:dyDescent="0.25">
      <c r="A56" s="12">
        <v>47</v>
      </c>
      <c r="B56" s="1"/>
      <c r="C56" s="24" t="s">
        <v>95</v>
      </c>
      <c r="D56" s="1" t="s">
        <v>52</v>
      </c>
      <c r="E56" s="19">
        <f>0.2+0.4+0.9+0.4</f>
        <v>1.9</v>
      </c>
      <c r="F56" s="19">
        <f>0.2+0.4+0.9+0.4</f>
        <v>1.9</v>
      </c>
      <c r="G56" s="20"/>
    </row>
    <row r="57" spans="1:12" x14ac:dyDescent="0.25">
      <c r="A57" s="12">
        <v>48</v>
      </c>
      <c r="B57" s="1"/>
      <c r="C57" s="24" t="s">
        <v>96</v>
      </c>
      <c r="D57" s="1" t="s">
        <v>52</v>
      </c>
      <c r="E57" s="19">
        <f>0.1+0.1+0.7+1.5+0.4</f>
        <v>2.8</v>
      </c>
      <c r="F57" s="19">
        <f>0.1+0.1+0.7+1.5+0.4</f>
        <v>2.8</v>
      </c>
      <c r="G57" s="20"/>
    </row>
    <row r="58" spans="1:12" x14ac:dyDescent="0.25">
      <c r="A58" s="12">
        <v>49</v>
      </c>
      <c r="B58" s="1"/>
      <c r="C58" s="24" t="s">
        <v>97</v>
      </c>
      <c r="D58" s="1" t="s">
        <v>52</v>
      </c>
      <c r="E58" s="19">
        <f>0.1+0.3+0.1</f>
        <v>0.5</v>
      </c>
      <c r="F58" s="19">
        <f>0.1+0.3+0.1</f>
        <v>0.5</v>
      </c>
      <c r="G58" s="20"/>
    </row>
    <row r="59" spans="1:12" x14ac:dyDescent="0.25">
      <c r="A59" s="12">
        <v>50</v>
      </c>
      <c r="B59" s="1"/>
      <c r="C59" s="24" t="s">
        <v>98</v>
      </c>
      <c r="D59" s="1" t="s">
        <v>52</v>
      </c>
      <c r="E59" s="19">
        <f>0.1+0.2+0.4+0.8+0.5</f>
        <v>2</v>
      </c>
      <c r="F59" s="19">
        <f>0.1+0.2+0.4+0.8+0.5</f>
        <v>2</v>
      </c>
      <c r="G59" s="20"/>
    </row>
    <row r="60" spans="1:12" x14ac:dyDescent="0.25">
      <c r="A60" s="12">
        <v>51</v>
      </c>
      <c r="B60" s="1"/>
      <c r="C60" s="24" t="s">
        <v>99</v>
      </c>
      <c r="D60" s="1" t="s">
        <v>52</v>
      </c>
      <c r="E60" s="19">
        <f>0.1+0.2+0.4+0.7+0.2</f>
        <v>1.5999999999999999</v>
      </c>
      <c r="F60" s="19">
        <f>0.1+0.2+0.4+0.7+0.2</f>
        <v>1.5999999999999999</v>
      </c>
      <c r="G60" s="20"/>
    </row>
    <row r="61" spans="1:12" x14ac:dyDescent="0.25">
      <c r="A61" s="12">
        <v>52</v>
      </c>
      <c r="B61" s="1"/>
      <c r="C61" s="15" t="s">
        <v>108</v>
      </c>
      <c r="D61" s="1" t="s">
        <v>53</v>
      </c>
      <c r="E61" s="19">
        <f>0.3+0.2</f>
        <v>0.5</v>
      </c>
      <c r="F61" s="19">
        <f>0.3+0.2</f>
        <v>0.5</v>
      </c>
      <c r="G61" s="20"/>
    </row>
    <row r="62" spans="1:12" x14ac:dyDescent="0.25">
      <c r="A62" s="12">
        <v>53</v>
      </c>
      <c r="B62" s="1"/>
      <c r="C62" s="24" t="s">
        <v>103</v>
      </c>
      <c r="D62" s="1" t="s">
        <v>54</v>
      </c>
      <c r="E62" s="19">
        <f>1.8+2+3.8+3</f>
        <v>10.6</v>
      </c>
      <c r="F62" s="19">
        <f>1.7+1.9+3.9+3</f>
        <v>10.5</v>
      </c>
      <c r="G62" s="20"/>
    </row>
    <row r="63" spans="1:12" ht="26.4" x14ac:dyDescent="0.25">
      <c r="A63" s="12">
        <v>54</v>
      </c>
      <c r="B63" s="1"/>
      <c r="C63" s="24" t="s">
        <v>44</v>
      </c>
      <c r="D63" s="14" t="s">
        <v>82</v>
      </c>
      <c r="E63" s="19">
        <f>0.2+0.3+0.3</f>
        <v>0.8</v>
      </c>
      <c r="F63" s="19">
        <f>0.2+0.3+0.3</f>
        <v>0.8</v>
      </c>
      <c r="G63" s="36"/>
    </row>
    <row r="64" spans="1:12" x14ac:dyDescent="0.25">
      <c r="A64" s="12">
        <v>55</v>
      </c>
      <c r="B64" s="1"/>
      <c r="C64" s="15" t="s">
        <v>86</v>
      </c>
      <c r="D64" s="1" t="s">
        <v>54</v>
      </c>
      <c r="E64" s="19">
        <f>0.9+0.9+2.9+2.5+0.1</f>
        <v>7.3</v>
      </c>
      <c r="F64" s="19">
        <f>0.9+0.9+2.8+2.5+0.1</f>
        <v>7.1999999999999993</v>
      </c>
      <c r="G64" s="20"/>
    </row>
    <row r="65" spans="1:7" x14ac:dyDescent="0.25">
      <c r="A65" s="12">
        <v>56</v>
      </c>
      <c r="B65" s="1"/>
      <c r="C65" s="15" t="s">
        <v>87</v>
      </c>
      <c r="D65" s="1" t="s">
        <v>54</v>
      </c>
      <c r="E65" s="19">
        <f>0.5+1.1+0.8</f>
        <v>2.4000000000000004</v>
      </c>
      <c r="F65" s="19">
        <f>0.5+1.1+0.8</f>
        <v>2.4000000000000004</v>
      </c>
      <c r="G65" s="20"/>
    </row>
    <row r="66" spans="1:7" x14ac:dyDescent="0.25">
      <c r="A66" s="12">
        <v>57</v>
      </c>
      <c r="B66" s="1"/>
      <c r="C66" s="15" t="s">
        <v>39</v>
      </c>
      <c r="D66" s="1" t="s">
        <v>54</v>
      </c>
      <c r="E66" s="19">
        <f>0.4+0.6+1+1+0.3</f>
        <v>3.3</v>
      </c>
      <c r="F66" s="19">
        <f>0.4+0.6+1+1+0.2</f>
        <v>3.2</v>
      </c>
      <c r="G66" s="20"/>
    </row>
    <row r="67" spans="1:7" x14ac:dyDescent="0.25">
      <c r="A67" s="12">
        <v>58</v>
      </c>
      <c r="B67" s="1"/>
      <c r="C67" s="24" t="s">
        <v>90</v>
      </c>
      <c r="D67" s="1" t="s">
        <v>54</v>
      </c>
      <c r="E67" s="19">
        <f>0.5+0.5+1.1+0.9+1.3</f>
        <v>4.3</v>
      </c>
      <c r="F67" s="19">
        <f>0.5+0.5+1.1+0.8+1.3</f>
        <v>4.2</v>
      </c>
      <c r="G67" s="20"/>
    </row>
    <row r="68" spans="1:7" x14ac:dyDescent="0.25">
      <c r="A68" s="12">
        <v>59</v>
      </c>
      <c r="B68" s="1"/>
      <c r="C68" s="15" t="s">
        <v>101</v>
      </c>
      <c r="D68" s="1" t="s">
        <v>55</v>
      </c>
      <c r="E68" s="19">
        <f>0.9+2+4.9+3.9</f>
        <v>11.700000000000001</v>
      </c>
      <c r="F68" s="19">
        <f>0.9+1.9+4.8+3.9</f>
        <v>11.5</v>
      </c>
      <c r="G68" s="36"/>
    </row>
    <row r="69" spans="1:7" x14ac:dyDescent="0.25">
      <c r="A69" s="12">
        <v>60</v>
      </c>
      <c r="B69" s="1"/>
      <c r="C69" s="24" t="s">
        <v>102</v>
      </c>
      <c r="D69" s="1" t="s">
        <v>55</v>
      </c>
      <c r="E69" s="19">
        <f>0.2+0.5+2.5+1.9</f>
        <v>5.0999999999999996</v>
      </c>
      <c r="F69" s="19">
        <f>0.2+0.5+2.4+1.9</f>
        <v>5</v>
      </c>
      <c r="G69" s="20"/>
    </row>
    <row r="70" spans="1:7" x14ac:dyDescent="0.25">
      <c r="A70" s="12">
        <v>61</v>
      </c>
      <c r="B70" s="1"/>
      <c r="C70" s="15" t="s">
        <v>83</v>
      </c>
      <c r="D70" s="1" t="s">
        <v>55</v>
      </c>
      <c r="E70" s="19">
        <f>2.4+3.1+6.8+5.2+0.3</f>
        <v>17.8</v>
      </c>
      <c r="F70" s="19">
        <f>2.3+3.1+6.8+5+0.3</f>
        <v>17.5</v>
      </c>
      <c r="G70" s="20"/>
    </row>
    <row r="71" spans="1:7" x14ac:dyDescent="0.25">
      <c r="A71" s="12">
        <v>62</v>
      </c>
      <c r="B71" s="1"/>
      <c r="C71" s="15" t="s">
        <v>88</v>
      </c>
      <c r="D71" s="1" t="s">
        <v>55</v>
      </c>
      <c r="E71" s="19">
        <f>1.8+2.7+4.3+3.9+0.6</f>
        <v>13.3</v>
      </c>
      <c r="F71" s="19">
        <f>1.8+2.7+4.2+3.8+0.6</f>
        <v>13.1</v>
      </c>
      <c r="G71" s="20"/>
    </row>
    <row r="72" spans="1:7" x14ac:dyDescent="0.25">
      <c r="A72" s="12">
        <v>63</v>
      </c>
      <c r="B72" s="1"/>
      <c r="C72" s="15" t="s">
        <v>93</v>
      </c>
      <c r="D72" s="1" t="s">
        <v>55</v>
      </c>
      <c r="E72" s="19">
        <f>0.2+0.3+0.3</f>
        <v>0.8</v>
      </c>
      <c r="F72" s="19">
        <f>0.2+0.3+0.3</f>
        <v>0.8</v>
      </c>
      <c r="G72" s="20"/>
    </row>
    <row r="73" spans="1:7" x14ac:dyDescent="0.25">
      <c r="A73" s="12">
        <v>64</v>
      </c>
      <c r="B73" s="1"/>
      <c r="C73" s="15" t="s">
        <v>41</v>
      </c>
      <c r="D73" s="1" t="s">
        <v>55</v>
      </c>
      <c r="E73" s="19">
        <f>1.7+1.7+1.6+0.8</f>
        <v>5.8</v>
      </c>
      <c r="F73" s="19">
        <f>1.7+1.7+0.5+1.8</f>
        <v>5.7</v>
      </c>
      <c r="G73" s="20"/>
    </row>
    <row r="74" spans="1:7" x14ac:dyDescent="0.25">
      <c r="A74" s="12">
        <v>65</v>
      </c>
      <c r="B74" s="1"/>
      <c r="C74" s="15" t="s">
        <v>89</v>
      </c>
      <c r="D74" s="1" t="s">
        <v>55</v>
      </c>
      <c r="E74" s="19">
        <f>0.8+1.6</f>
        <v>2.4000000000000004</v>
      </c>
      <c r="F74" s="19">
        <f>0.8+1.5</f>
        <v>2.2999999999999998</v>
      </c>
      <c r="G74" s="20"/>
    </row>
    <row r="75" spans="1:7" x14ac:dyDescent="0.25">
      <c r="A75" s="12">
        <v>66</v>
      </c>
      <c r="B75" s="1"/>
      <c r="C75" s="115" t="s">
        <v>15</v>
      </c>
      <c r="D75" s="1" t="s">
        <v>52</v>
      </c>
      <c r="E75" s="19">
        <f>0.1+0.1+0.5+0.2</f>
        <v>0.89999999999999991</v>
      </c>
      <c r="F75" s="19">
        <f>0.1+0.1+0.5+0.2</f>
        <v>0.89999999999999991</v>
      </c>
      <c r="G75" s="20"/>
    </row>
    <row r="76" spans="1:7" x14ac:dyDescent="0.25">
      <c r="A76" s="12">
        <v>67</v>
      </c>
      <c r="B76" s="1"/>
      <c r="C76" s="115" t="s">
        <v>19</v>
      </c>
      <c r="D76" s="1" t="s">
        <v>52</v>
      </c>
      <c r="E76" s="19">
        <f>0.2+0.2+0.3</f>
        <v>0.7</v>
      </c>
      <c r="F76" s="19">
        <f>0.2+0.2+0.3</f>
        <v>0.7</v>
      </c>
      <c r="G76" s="20"/>
    </row>
    <row r="77" spans="1:7" ht="52.8" x14ac:dyDescent="0.25">
      <c r="A77" s="12">
        <v>68</v>
      </c>
      <c r="B77" s="1" t="s">
        <v>379</v>
      </c>
      <c r="C77" s="110" t="s">
        <v>380</v>
      </c>
      <c r="D77" s="1"/>
      <c r="E77" s="19">
        <f>+E78</f>
        <v>7</v>
      </c>
      <c r="F77" s="19">
        <f>+F78</f>
        <v>6.9</v>
      </c>
    </row>
    <row r="78" spans="1:7" x14ac:dyDescent="0.25">
      <c r="A78" s="12">
        <v>69</v>
      </c>
      <c r="B78" s="1"/>
      <c r="C78" s="24" t="s">
        <v>45</v>
      </c>
      <c r="D78" s="1" t="s">
        <v>56</v>
      </c>
      <c r="E78" s="19">
        <v>7</v>
      </c>
      <c r="F78" s="19">
        <v>6.9</v>
      </c>
    </row>
    <row r="79" spans="1:7" ht="39.6" x14ac:dyDescent="0.25">
      <c r="A79" s="12">
        <v>70</v>
      </c>
      <c r="B79" s="1" t="s">
        <v>382</v>
      </c>
      <c r="C79" s="110" t="s">
        <v>381</v>
      </c>
      <c r="D79" s="1"/>
      <c r="E79" s="19">
        <f>SUM(E80:E81)</f>
        <v>43</v>
      </c>
      <c r="F79" s="19">
        <f>SUM(F80:F81)</f>
        <v>0</v>
      </c>
    </row>
    <row r="80" spans="1:7" x14ac:dyDescent="0.25">
      <c r="A80" s="12">
        <v>71</v>
      </c>
      <c r="B80" s="1"/>
      <c r="C80" s="15" t="s">
        <v>39</v>
      </c>
      <c r="D80" s="1" t="s">
        <v>54</v>
      </c>
      <c r="E80" s="19">
        <v>6.4</v>
      </c>
      <c r="F80" s="19">
        <f>6.3-6.3</f>
        <v>0</v>
      </c>
    </row>
    <row r="81" spans="1:6" x14ac:dyDescent="0.25">
      <c r="A81" s="12">
        <v>72</v>
      </c>
      <c r="B81" s="1"/>
      <c r="C81" s="15" t="s">
        <v>89</v>
      </c>
      <c r="D81" s="1" t="s">
        <v>55</v>
      </c>
      <c r="E81" s="19">
        <v>36.6</v>
      </c>
      <c r="F81" s="19">
        <f>36.1-36.1</f>
        <v>0</v>
      </c>
    </row>
    <row r="82" spans="1:6" ht="26.4" x14ac:dyDescent="0.25">
      <c r="A82" s="12">
        <v>73</v>
      </c>
      <c r="B82" s="1" t="s">
        <v>383</v>
      </c>
      <c r="C82" s="110" t="s">
        <v>384</v>
      </c>
      <c r="D82" s="1"/>
      <c r="E82" s="19">
        <f>+E83+E84+E85</f>
        <v>138.80000000000001</v>
      </c>
      <c r="F82" s="19">
        <f>+F83+F84+F85</f>
        <v>0</v>
      </c>
    </row>
    <row r="83" spans="1:6" x14ac:dyDescent="0.25">
      <c r="A83" s="12">
        <v>74</v>
      </c>
      <c r="B83" s="1"/>
      <c r="C83" s="15" t="s">
        <v>39</v>
      </c>
      <c r="D83" s="1" t="s">
        <v>54</v>
      </c>
      <c r="E83" s="19">
        <v>14</v>
      </c>
      <c r="F83" s="19"/>
    </row>
    <row r="84" spans="1:6" x14ac:dyDescent="0.25">
      <c r="A84" s="12">
        <v>75</v>
      </c>
      <c r="B84" s="1"/>
      <c r="C84" s="24" t="s">
        <v>90</v>
      </c>
      <c r="D84" s="1" t="s">
        <v>54</v>
      </c>
      <c r="E84" s="19">
        <f>37.8+25</f>
        <v>62.8</v>
      </c>
      <c r="F84" s="19"/>
    </row>
    <row r="85" spans="1:6" x14ac:dyDescent="0.25">
      <c r="A85" s="12">
        <v>76</v>
      </c>
      <c r="B85" s="1"/>
      <c r="C85" s="15" t="s">
        <v>83</v>
      </c>
      <c r="D85" s="1" t="s">
        <v>55</v>
      </c>
      <c r="E85" s="19">
        <v>62</v>
      </c>
      <c r="F85" s="19"/>
    </row>
    <row r="86" spans="1:6" ht="26.4" x14ac:dyDescent="0.25">
      <c r="A86" s="12">
        <v>77</v>
      </c>
      <c r="B86" s="1" t="s">
        <v>385</v>
      </c>
      <c r="C86" s="62" t="s">
        <v>327</v>
      </c>
      <c r="D86" s="18"/>
      <c r="E86" s="34">
        <f>+E87</f>
        <v>474</v>
      </c>
      <c r="F86" s="34">
        <f>+F87</f>
        <v>0</v>
      </c>
    </row>
    <row r="87" spans="1:6" x14ac:dyDescent="0.25">
      <c r="A87" s="12">
        <v>78</v>
      </c>
      <c r="B87" s="1"/>
      <c r="C87" s="15" t="s">
        <v>178</v>
      </c>
      <c r="D87" s="1"/>
      <c r="E87" s="19">
        <f>+E88</f>
        <v>474</v>
      </c>
      <c r="F87" s="19">
        <f>+F88</f>
        <v>0</v>
      </c>
    </row>
    <row r="88" spans="1:6" ht="26.4" x14ac:dyDescent="0.25">
      <c r="A88" s="12">
        <v>79</v>
      </c>
      <c r="B88" s="1"/>
      <c r="C88" s="52" t="s">
        <v>269</v>
      </c>
      <c r="D88" s="1" t="s">
        <v>54</v>
      </c>
      <c r="E88" s="19">
        <v>474</v>
      </c>
      <c r="F88" s="19"/>
    </row>
    <row r="89" spans="1:6" x14ac:dyDescent="0.25">
      <c r="A89" s="12">
        <v>80</v>
      </c>
      <c r="B89" s="9" t="s">
        <v>57</v>
      </c>
      <c r="C89" s="13" t="s">
        <v>58</v>
      </c>
      <c r="D89" s="106"/>
      <c r="E89" s="106">
        <f>+E90</f>
        <v>50</v>
      </c>
      <c r="F89" s="106">
        <f>+F90</f>
        <v>0</v>
      </c>
    </row>
    <row r="90" spans="1:6" ht="39.6" x14ac:dyDescent="0.25">
      <c r="A90" s="12">
        <v>81</v>
      </c>
      <c r="B90" s="1" t="s">
        <v>119</v>
      </c>
      <c r="C90" s="62" t="s">
        <v>386</v>
      </c>
      <c r="D90" s="1"/>
      <c r="E90" s="19">
        <f>+E91</f>
        <v>50</v>
      </c>
      <c r="F90" s="19">
        <f>+F91</f>
        <v>0</v>
      </c>
    </row>
    <row r="91" spans="1:6" x14ac:dyDescent="0.25">
      <c r="A91" s="12">
        <v>82</v>
      </c>
      <c r="B91" s="1"/>
      <c r="C91" s="108" t="s">
        <v>114</v>
      </c>
      <c r="D91" s="14" t="s">
        <v>117</v>
      </c>
      <c r="E91" s="19">
        <v>50</v>
      </c>
      <c r="F91" s="19"/>
    </row>
    <row r="92" spans="1:6" ht="18" customHeight="1" x14ac:dyDescent="0.25">
      <c r="A92" s="12">
        <v>83</v>
      </c>
      <c r="B92" s="11" t="s">
        <v>21</v>
      </c>
      <c r="C92" s="17" t="s">
        <v>22</v>
      </c>
      <c r="D92" s="14"/>
      <c r="E92" s="106">
        <f>+E93+E98+E100+E114+E116+E133+E137+E139+E144+E146+E148+E102+E136</f>
        <v>1526.2999999999997</v>
      </c>
      <c r="F92" s="106">
        <f>+F93+F98+F100+F114+F116+F133+F137+F139+F144+F146+F148+F102+F136</f>
        <v>179.00000000000003</v>
      </c>
    </row>
    <row r="93" spans="1:6" ht="52.8" x14ac:dyDescent="0.25">
      <c r="A93" s="12">
        <v>84</v>
      </c>
      <c r="B93" s="1" t="s">
        <v>124</v>
      </c>
      <c r="C93" s="62" t="s">
        <v>270</v>
      </c>
      <c r="D93" s="14"/>
      <c r="E93" s="34">
        <f>+E94+E95+E96+E97</f>
        <v>11.5</v>
      </c>
      <c r="F93" s="34">
        <f>+F94+F95+F96+F97</f>
        <v>11.399999999999999</v>
      </c>
    </row>
    <row r="94" spans="1:6" ht="12.6" customHeight="1" x14ac:dyDescent="0.25">
      <c r="A94" s="12">
        <v>85</v>
      </c>
      <c r="B94" s="1"/>
      <c r="C94" s="16" t="s">
        <v>1</v>
      </c>
      <c r="D94" s="124" t="s">
        <v>328</v>
      </c>
      <c r="E94" s="19">
        <v>2.4</v>
      </c>
      <c r="F94" s="19">
        <v>2.4</v>
      </c>
    </row>
    <row r="95" spans="1:6" ht="12.6" customHeight="1" x14ac:dyDescent="0.25">
      <c r="A95" s="12">
        <v>86</v>
      </c>
      <c r="B95" s="1"/>
      <c r="C95" s="107" t="s">
        <v>94</v>
      </c>
      <c r="D95" s="14" t="s">
        <v>23</v>
      </c>
      <c r="E95" s="19">
        <v>2.4</v>
      </c>
      <c r="F95" s="19">
        <v>2.4</v>
      </c>
    </row>
    <row r="96" spans="1:6" ht="12.6" customHeight="1" x14ac:dyDescent="0.25">
      <c r="A96" s="12">
        <v>87</v>
      </c>
      <c r="B96" s="1"/>
      <c r="C96" s="115" t="s">
        <v>15</v>
      </c>
      <c r="D96" s="14" t="s">
        <v>76</v>
      </c>
      <c r="E96" s="19">
        <v>2.4</v>
      </c>
      <c r="F96" s="19">
        <v>2.4</v>
      </c>
    </row>
    <row r="97" spans="1:11" ht="12.6" customHeight="1" x14ac:dyDescent="0.25">
      <c r="A97" s="12">
        <v>88</v>
      </c>
      <c r="B97" s="1"/>
      <c r="C97" s="115" t="s">
        <v>19</v>
      </c>
      <c r="D97" s="23" t="s">
        <v>61</v>
      </c>
      <c r="E97" s="19">
        <v>4.3</v>
      </c>
      <c r="F97" s="19">
        <v>4.2</v>
      </c>
    </row>
    <row r="98" spans="1:11" ht="26.4" x14ac:dyDescent="0.25">
      <c r="A98" s="12">
        <v>89</v>
      </c>
      <c r="B98" s="1" t="s">
        <v>127</v>
      </c>
      <c r="C98" s="62" t="s">
        <v>191</v>
      </c>
      <c r="D98" s="14"/>
      <c r="E98" s="34">
        <f>+E99</f>
        <v>150.19999999999999</v>
      </c>
      <c r="F98" s="34">
        <f>+F99</f>
        <v>4.4000000000000004</v>
      </c>
    </row>
    <row r="99" spans="1:11" x14ac:dyDescent="0.25">
      <c r="A99" s="12">
        <v>90</v>
      </c>
      <c r="B99" s="1"/>
      <c r="C99" s="35" t="s">
        <v>3</v>
      </c>
      <c r="D99" s="14" t="s">
        <v>23</v>
      </c>
      <c r="E99" s="19">
        <f>134.6+15.6</f>
        <v>150.19999999999999</v>
      </c>
      <c r="F99" s="19">
        <f>1.7+2.7</f>
        <v>4.4000000000000004</v>
      </c>
    </row>
    <row r="100" spans="1:11" ht="52.8" x14ac:dyDescent="0.25">
      <c r="A100" s="12">
        <v>91</v>
      </c>
      <c r="B100" s="1" t="s">
        <v>129</v>
      </c>
      <c r="C100" s="123" t="s">
        <v>355</v>
      </c>
      <c r="D100" s="14"/>
      <c r="E100" s="34">
        <f>+E101</f>
        <v>371.2</v>
      </c>
      <c r="F100" s="34">
        <f>+F101</f>
        <v>0</v>
      </c>
    </row>
    <row r="101" spans="1:11" x14ac:dyDescent="0.25">
      <c r="A101" s="12">
        <v>92</v>
      </c>
      <c r="B101" s="1"/>
      <c r="C101" s="15" t="s">
        <v>178</v>
      </c>
      <c r="D101" s="14" t="s">
        <v>357</v>
      </c>
      <c r="E101" s="19">
        <v>371.2</v>
      </c>
      <c r="F101" s="19"/>
    </row>
    <row r="102" spans="1:11" ht="51.75" customHeight="1" x14ac:dyDescent="0.25">
      <c r="A102" s="12">
        <v>93</v>
      </c>
      <c r="B102" s="1" t="s">
        <v>132</v>
      </c>
      <c r="C102" s="110" t="s">
        <v>408</v>
      </c>
      <c r="D102" s="14"/>
      <c r="E102" s="19">
        <f>SUM(E103:E113)</f>
        <v>436.30000000000007</v>
      </c>
      <c r="F102" s="19">
        <f>SUM(F103:F113)</f>
        <v>0</v>
      </c>
    </row>
    <row r="103" spans="1:11" ht="39.6" x14ac:dyDescent="0.25">
      <c r="A103" s="12">
        <v>94</v>
      </c>
      <c r="B103" s="1"/>
      <c r="C103" s="15" t="s">
        <v>8</v>
      </c>
      <c r="D103" s="14" t="s">
        <v>409</v>
      </c>
      <c r="E103" s="19">
        <v>192.9</v>
      </c>
      <c r="F103" s="19"/>
      <c r="K103" s="3"/>
    </row>
    <row r="104" spans="1:11" ht="39.6" x14ac:dyDescent="0.25">
      <c r="A104" s="12">
        <v>95</v>
      </c>
      <c r="B104" s="1"/>
      <c r="C104" s="15" t="s">
        <v>4</v>
      </c>
      <c r="D104" s="14" t="s">
        <v>409</v>
      </c>
      <c r="E104" s="19">
        <f>51.1+0.2</f>
        <v>51.300000000000004</v>
      </c>
      <c r="F104" s="19"/>
    </row>
    <row r="105" spans="1:11" ht="39.6" x14ac:dyDescent="0.25">
      <c r="A105" s="12">
        <v>96</v>
      </c>
      <c r="B105" s="1"/>
      <c r="C105" s="15" t="s">
        <v>5</v>
      </c>
      <c r="D105" s="14" t="s">
        <v>409</v>
      </c>
      <c r="E105" s="19">
        <v>22.6</v>
      </c>
      <c r="F105" s="19"/>
    </row>
    <row r="106" spans="1:11" ht="39.6" x14ac:dyDescent="0.25">
      <c r="A106" s="12">
        <v>97</v>
      </c>
      <c r="B106" s="1"/>
      <c r="C106" s="15" t="s">
        <v>7</v>
      </c>
      <c r="D106" s="14" t="s">
        <v>409</v>
      </c>
      <c r="E106" s="19">
        <v>15.5</v>
      </c>
      <c r="F106" s="19"/>
    </row>
    <row r="107" spans="1:11" ht="39.6" x14ac:dyDescent="0.25">
      <c r="A107" s="12">
        <v>98</v>
      </c>
      <c r="B107" s="1"/>
      <c r="C107" s="15" t="s">
        <v>6</v>
      </c>
      <c r="D107" s="14" t="s">
        <v>409</v>
      </c>
      <c r="E107" s="19">
        <v>27</v>
      </c>
      <c r="F107" s="19"/>
    </row>
    <row r="108" spans="1:11" ht="39.6" x14ac:dyDescent="0.25">
      <c r="A108" s="12">
        <v>99</v>
      </c>
      <c r="B108" s="1"/>
      <c r="C108" s="15" t="s">
        <v>9</v>
      </c>
      <c r="D108" s="14" t="s">
        <v>409</v>
      </c>
      <c r="E108" s="19">
        <v>27.6</v>
      </c>
      <c r="F108" s="19"/>
    </row>
    <row r="109" spans="1:11" ht="39.6" x14ac:dyDescent="0.25">
      <c r="A109" s="12">
        <v>100</v>
      </c>
      <c r="B109" s="1"/>
      <c r="C109" s="16" t="s">
        <v>10</v>
      </c>
      <c r="D109" s="14" t="s">
        <v>409</v>
      </c>
      <c r="E109" s="19">
        <v>19.100000000000001</v>
      </c>
      <c r="F109" s="19"/>
    </row>
    <row r="110" spans="1:11" ht="39.6" x14ac:dyDescent="0.25">
      <c r="A110" s="12">
        <v>101</v>
      </c>
      <c r="B110" s="1"/>
      <c r="C110" s="15" t="s">
        <v>12</v>
      </c>
      <c r="D110" s="14" t="s">
        <v>409</v>
      </c>
      <c r="E110" s="19">
        <v>25.1</v>
      </c>
      <c r="F110" s="19"/>
    </row>
    <row r="111" spans="1:11" ht="39.6" x14ac:dyDescent="0.25">
      <c r="A111" s="12">
        <v>102</v>
      </c>
      <c r="B111" s="1"/>
      <c r="C111" s="15" t="s">
        <v>11</v>
      </c>
      <c r="D111" s="14" t="s">
        <v>409</v>
      </c>
      <c r="E111" s="19">
        <v>22</v>
      </c>
      <c r="F111" s="19"/>
    </row>
    <row r="112" spans="1:11" ht="39.6" x14ac:dyDescent="0.25">
      <c r="A112" s="12">
        <v>103</v>
      </c>
      <c r="B112" s="1"/>
      <c r="C112" s="15" t="s">
        <v>13</v>
      </c>
      <c r="D112" s="14" t="s">
        <v>409</v>
      </c>
      <c r="E112" s="19">
        <v>15.2</v>
      </c>
      <c r="F112" s="19"/>
    </row>
    <row r="113" spans="1:6" ht="39.6" x14ac:dyDescent="0.25">
      <c r="A113" s="12">
        <v>104</v>
      </c>
      <c r="B113" s="1"/>
      <c r="C113" s="15" t="s">
        <v>14</v>
      </c>
      <c r="D113" s="14" t="s">
        <v>409</v>
      </c>
      <c r="E113" s="19">
        <v>18</v>
      </c>
      <c r="F113" s="19"/>
    </row>
    <row r="114" spans="1:6" ht="26.4" x14ac:dyDescent="0.25">
      <c r="A114" s="12">
        <v>105</v>
      </c>
      <c r="B114" s="1" t="s">
        <v>134</v>
      </c>
      <c r="C114" s="110" t="s">
        <v>346</v>
      </c>
      <c r="D114" s="125"/>
      <c r="E114" s="34">
        <f>+E115</f>
        <v>150.4</v>
      </c>
      <c r="F114" s="34">
        <f>+F115</f>
        <v>2.5</v>
      </c>
    </row>
    <row r="115" spans="1:6" x14ac:dyDescent="0.25">
      <c r="A115" s="12">
        <v>106</v>
      </c>
      <c r="B115" s="1"/>
      <c r="C115" s="15" t="s">
        <v>3</v>
      </c>
      <c r="D115" s="14" t="s">
        <v>357</v>
      </c>
      <c r="E115" s="19">
        <v>150.4</v>
      </c>
      <c r="F115" s="19">
        <f>2.9-0.4</f>
        <v>2.5</v>
      </c>
    </row>
    <row r="116" spans="1:6" ht="39.6" x14ac:dyDescent="0.25">
      <c r="A116" s="12">
        <v>107</v>
      </c>
      <c r="B116" s="1" t="s">
        <v>351</v>
      </c>
      <c r="C116" s="110" t="s">
        <v>347</v>
      </c>
      <c r="D116" s="125"/>
      <c r="E116" s="34">
        <f>SUM(E117:E132)</f>
        <v>135.40000000000003</v>
      </c>
      <c r="F116" s="34">
        <f>SUM(F117:F132)</f>
        <v>133.60000000000005</v>
      </c>
    </row>
    <row r="117" spans="1:6" ht="39.6" x14ac:dyDescent="0.25">
      <c r="A117" s="12">
        <v>108</v>
      </c>
      <c r="B117" s="1"/>
      <c r="C117" s="24" t="s">
        <v>1</v>
      </c>
      <c r="D117" s="14" t="s">
        <v>60</v>
      </c>
      <c r="E117" s="19">
        <v>53.2</v>
      </c>
      <c r="F117" s="19">
        <v>52.4</v>
      </c>
    </row>
    <row r="118" spans="1:6" x14ac:dyDescent="0.25">
      <c r="A118" s="12">
        <v>109</v>
      </c>
      <c r="B118" s="1"/>
      <c r="C118" s="49" t="s">
        <v>2</v>
      </c>
      <c r="D118" s="14" t="s">
        <v>61</v>
      </c>
      <c r="E118" s="19">
        <v>2.9</v>
      </c>
      <c r="F118" s="19">
        <v>2.9</v>
      </c>
    </row>
    <row r="119" spans="1:6" x14ac:dyDescent="0.25">
      <c r="A119" s="12">
        <v>110</v>
      </c>
      <c r="B119" s="1"/>
      <c r="C119" s="115" t="s">
        <v>15</v>
      </c>
      <c r="D119" s="14" t="s">
        <v>76</v>
      </c>
      <c r="E119" s="19">
        <v>11.6</v>
      </c>
      <c r="F119" s="19">
        <v>11.4</v>
      </c>
    </row>
    <row r="120" spans="1:6" x14ac:dyDescent="0.25">
      <c r="A120" s="12">
        <v>111</v>
      </c>
      <c r="B120" s="1"/>
      <c r="C120" s="115" t="s">
        <v>19</v>
      </c>
      <c r="D120" s="14" t="s">
        <v>61</v>
      </c>
      <c r="E120" s="19">
        <v>8.1999999999999993</v>
      </c>
      <c r="F120" s="19">
        <v>8.1</v>
      </c>
    </row>
    <row r="121" spans="1:6" x14ac:dyDescent="0.25">
      <c r="A121" s="12">
        <v>112</v>
      </c>
      <c r="B121" s="1"/>
      <c r="C121" s="24" t="s">
        <v>94</v>
      </c>
      <c r="D121" s="14" t="s">
        <v>23</v>
      </c>
      <c r="E121" s="19">
        <v>46.3</v>
      </c>
      <c r="F121" s="19">
        <v>45.6</v>
      </c>
    </row>
    <row r="122" spans="1:6" ht="39.6" x14ac:dyDescent="0.25">
      <c r="A122" s="12">
        <v>113</v>
      </c>
      <c r="B122" s="1"/>
      <c r="C122" s="15" t="s">
        <v>8</v>
      </c>
      <c r="D122" s="14" t="s">
        <v>80</v>
      </c>
      <c r="E122" s="19">
        <v>2.1</v>
      </c>
      <c r="F122" s="19">
        <v>2.1</v>
      </c>
    </row>
    <row r="123" spans="1:6" ht="39.6" x14ac:dyDescent="0.25">
      <c r="A123" s="12">
        <v>114</v>
      </c>
      <c r="B123" s="1"/>
      <c r="C123" s="15" t="s">
        <v>4</v>
      </c>
      <c r="D123" s="14" t="s">
        <v>91</v>
      </c>
      <c r="E123" s="19">
        <v>2</v>
      </c>
      <c r="F123" s="19">
        <v>2</v>
      </c>
    </row>
    <row r="124" spans="1:6" ht="39.6" x14ac:dyDescent="0.25">
      <c r="A124" s="12">
        <v>115</v>
      </c>
      <c r="B124" s="1"/>
      <c r="C124" s="15" t="s">
        <v>5</v>
      </c>
      <c r="D124" s="14" t="s">
        <v>80</v>
      </c>
      <c r="E124" s="19">
        <v>0.9</v>
      </c>
      <c r="F124" s="19">
        <v>0.9</v>
      </c>
    </row>
    <row r="125" spans="1:6" ht="39.6" x14ac:dyDescent="0.25">
      <c r="A125" s="12">
        <v>116</v>
      </c>
      <c r="B125" s="1"/>
      <c r="C125" s="15" t="s">
        <v>7</v>
      </c>
      <c r="D125" s="14" t="s">
        <v>80</v>
      </c>
      <c r="E125" s="19">
        <v>0.9</v>
      </c>
      <c r="F125" s="19">
        <v>0.9</v>
      </c>
    </row>
    <row r="126" spans="1:6" ht="39.6" x14ac:dyDescent="0.25">
      <c r="A126" s="12">
        <v>117</v>
      </c>
      <c r="B126" s="1"/>
      <c r="C126" s="15" t="s">
        <v>6</v>
      </c>
      <c r="D126" s="14" t="s">
        <v>80</v>
      </c>
      <c r="E126" s="19">
        <v>1.4</v>
      </c>
      <c r="F126" s="19">
        <v>1.4</v>
      </c>
    </row>
    <row r="127" spans="1:6" ht="39.6" x14ac:dyDescent="0.25">
      <c r="A127" s="12">
        <v>118</v>
      </c>
      <c r="B127" s="1"/>
      <c r="C127" s="15" t="s">
        <v>9</v>
      </c>
      <c r="D127" s="14" t="s">
        <v>80</v>
      </c>
      <c r="E127" s="19">
        <v>0.9</v>
      </c>
      <c r="F127" s="19">
        <v>0.9</v>
      </c>
    </row>
    <row r="128" spans="1:6" ht="39.6" x14ac:dyDescent="0.25">
      <c r="A128" s="12">
        <v>119</v>
      </c>
      <c r="B128" s="1"/>
      <c r="C128" s="16" t="s">
        <v>10</v>
      </c>
      <c r="D128" s="14" t="s">
        <v>80</v>
      </c>
      <c r="E128" s="19">
        <v>0.9</v>
      </c>
      <c r="F128" s="19">
        <v>0.9</v>
      </c>
    </row>
    <row r="129" spans="1:8" ht="39.6" x14ac:dyDescent="0.25">
      <c r="A129" s="12">
        <v>120</v>
      </c>
      <c r="B129" s="1"/>
      <c r="C129" s="15" t="s">
        <v>12</v>
      </c>
      <c r="D129" s="14" t="s">
        <v>80</v>
      </c>
      <c r="E129" s="19">
        <v>0.9</v>
      </c>
      <c r="F129" s="19">
        <v>0.9</v>
      </c>
    </row>
    <row r="130" spans="1:8" ht="39.6" x14ac:dyDescent="0.25">
      <c r="A130" s="12">
        <v>121</v>
      </c>
      <c r="B130" s="1"/>
      <c r="C130" s="15" t="s">
        <v>11</v>
      </c>
      <c r="D130" s="14" t="s">
        <v>80</v>
      </c>
      <c r="E130" s="19">
        <v>0.9</v>
      </c>
      <c r="F130" s="19">
        <v>0.9</v>
      </c>
      <c r="G130" s="20"/>
      <c r="H130" s="20"/>
    </row>
    <row r="131" spans="1:8" ht="39.6" x14ac:dyDescent="0.25">
      <c r="A131" s="12">
        <v>122</v>
      </c>
      <c r="B131" s="1"/>
      <c r="C131" s="15" t="s">
        <v>13</v>
      </c>
      <c r="D131" s="14" t="s">
        <v>80</v>
      </c>
      <c r="E131" s="19">
        <v>0.9</v>
      </c>
      <c r="F131" s="19">
        <v>0.9</v>
      </c>
      <c r="G131" s="20"/>
      <c r="H131" s="20"/>
    </row>
    <row r="132" spans="1:8" ht="39.6" x14ac:dyDescent="0.25">
      <c r="A132" s="12">
        <v>123</v>
      </c>
      <c r="B132" s="1"/>
      <c r="C132" s="15" t="s">
        <v>14</v>
      </c>
      <c r="D132" s="14" t="s">
        <v>80</v>
      </c>
      <c r="E132" s="19">
        <v>1.4</v>
      </c>
      <c r="F132" s="19">
        <v>1.4</v>
      </c>
    </row>
    <row r="133" spans="1:8" ht="26.4" x14ac:dyDescent="0.25">
      <c r="A133" s="12">
        <v>124</v>
      </c>
      <c r="B133" s="1" t="s">
        <v>353</v>
      </c>
      <c r="C133" s="110" t="s">
        <v>352</v>
      </c>
      <c r="D133" s="125"/>
      <c r="E133" s="34">
        <f>+E134</f>
        <v>27</v>
      </c>
      <c r="F133" s="34">
        <f>+F134</f>
        <v>1</v>
      </c>
    </row>
    <row r="134" spans="1:8" x14ac:dyDescent="0.25">
      <c r="A134" s="12">
        <v>125</v>
      </c>
      <c r="B134" s="1"/>
      <c r="C134" s="15" t="s">
        <v>178</v>
      </c>
      <c r="D134" s="14" t="s">
        <v>357</v>
      </c>
      <c r="E134" s="19">
        <f>24.8+2.2</f>
        <v>27</v>
      </c>
      <c r="F134" s="19">
        <v>1</v>
      </c>
    </row>
    <row r="135" spans="1:8" ht="26.4" x14ac:dyDescent="0.25">
      <c r="A135" s="12">
        <v>126</v>
      </c>
      <c r="B135" s="1" t="s">
        <v>364</v>
      </c>
      <c r="C135" s="110" t="s">
        <v>411</v>
      </c>
      <c r="E135" s="19">
        <f>+E136</f>
        <v>0.1</v>
      </c>
      <c r="F135" s="19">
        <f>+F136</f>
        <v>0</v>
      </c>
    </row>
    <row r="136" spans="1:8" x14ac:dyDescent="0.25">
      <c r="A136" s="12">
        <v>127</v>
      </c>
      <c r="B136" s="1"/>
      <c r="C136" s="15" t="s">
        <v>178</v>
      </c>
      <c r="D136" s="14" t="s">
        <v>357</v>
      </c>
      <c r="E136" s="19">
        <v>0.1</v>
      </c>
      <c r="F136" s="19"/>
    </row>
    <row r="137" spans="1:8" ht="39.6" x14ac:dyDescent="0.25">
      <c r="A137" s="12">
        <v>128</v>
      </c>
      <c r="B137" s="1" t="s">
        <v>389</v>
      </c>
      <c r="C137" s="110" t="s">
        <v>354</v>
      </c>
      <c r="D137" s="125"/>
      <c r="E137" s="34">
        <f>+E138</f>
        <v>84.1</v>
      </c>
      <c r="F137" s="34">
        <f>+F138</f>
        <v>3.4</v>
      </c>
    </row>
    <row r="138" spans="1:8" x14ac:dyDescent="0.25">
      <c r="A138" s="12">
        <v>129</v>
      </c>
      <c r="B138" s="1"/>
      <c r="C138" s="35" t="s">
        <v>3</v>
      </c>
      <c r="D138" s="14" t="s">
        <v>357</v>
      </c>
      <c r="E138" s="19">
        <v>84.1</v>
      </c>
      <c r="F138" s="19">
        <f>4-0.6</f>
        <v>3.4</v>
      </c>
    </row>
    <row r="139" spans="1:8" ht="26.4" x14ac:dyDescent="0.25">
      <c r="A139" s="12">
        <v>130</v>
      </c>
      <c r="B139" s="1" t="s">
        <v>412</v>
      </c>
      <c r="C139" s="62" t="s">
        <v>365</v>
      </c>
      <c r="D139" s="125"/>
      <c r="E139" s="34">
        <f>SUM(E140:E143)</f>
        <v>21.3</v>
      </c>
      <c r="F139" s="34">
        <f>SUM(F140:F143)</f>
        <v>21</v>
      </c>
    </row>
    <row r="140" spans="1:8" ht="39.6" x14ac:dyDescent="0.25">
      <c r="A140" s="12">
        <v>131</v>
      </c>
      <c r="B140" s="1"/>
      <c r="C140" s="16" t="s">
        <v>1</v>
      </c>
      <c r="D140" s="14" t="s">
        <v>60</v>
      </c>
      <c r="E140" s="19">
        <v>12.5</v>
      </c>
      <c r="F140" s="19">
        <v>12.3</v>
      </c>
    </row>
    <row r="141" spans="1:8" x14ac:dyDescent="0.25">
      <c r="A141" s="12">
        <v>132</v>
      </c>
      <c r="B141" s="1"/>
      <c r="C141" s="107" t="s">
        <v>2</v>
      </c>
      <c r="D141" s="116" t="s">
        <v>61</v>
      </c>
      <c r="E141" s="19">
        <v>4.2</v>
      </c>
      <c r="F141" s="19">
        <v>4.0999999999999996</v>
      </c>
    </row>
    <row r="142" spans="1:8" x14ac:dyDescent="0.25">
      <c r="A142" s="12">
        <v>133</v>
      </c>
      <c r="B142" s="1"/>
      <c r="C142" s="115" t="s">
        <v>15</v>
      </c>
      <c r="D142" s="14" t="s">
        <v>76</v>
      </c>
      <c r="E142" s="19">
        <v>1.8</v>
      </c>
      <c r="F142" s="19">
        <v>1.8</v>
      </c>
    </row>
    <row r="143" spans="1:8" x14ac:dyDescent="0.25">
      <c r="A143" s="12">
        <v>134</v>
      </c>
      <c r="B143" s="1"/>
      <c r="C143" s="107" t="s">
        <v>94</v>
      </c>
      <c r="D143" s="14" t="s">
        <v>23</v>
      </c>
      <c r="E143" s="19">
        <v>2.8</v>
      </c>
      <c r="F143" s="19">
        <v>2.8</v>
      </c>
    </row>
    <row r="144" spans="1:8" ht="39.6" x14ac:dyDescent="0.25">
      <c r="A144" s="12">
        <v>135</v>
      </c>
      <c r="B144" s="1" t="s">
        <v>413</v>
      </c>
      <c r="C144" s="120" t="s">
        <v>390</v>
      </c>
      <c r="D144" s="14"/>
      <c r="E144" s="19">
        <f>+E145</f>
        <v>87.9</v>
      </c>
      <c r="F144" s="19">
        <f>+F145</f>
        <v>1.7</v>
      </c>
    </row>
    <row r="145" spans="1:6" x14ac:dyDescent="0.25">
      <c r="A145" s="12">
        <v>136</v>
      </c>
      <c r="B145" s="1"/>
      <c r="C145" s="15" t="s">
        <v>178</v>
      </c>
      <c r="D145" s="14" t="s">
        <v>357</v>
      </c>
      <c r="E145" s="19">
        <f>3.7+22.6+22.6+23.2+15.8</f>
        <v>87.9</v>
      </c>
      <c r="F145" s="19">
        <f>0.1+0.4+0.4+0.5+0.3</f>
        <v>1.7</v>
      </c>
    </row>
    <row r="146" spans="1:6" ht="79.2" x14ac:dyDescent="0.25">
      <c r="A146" s="12">
        <v>137</v>
      </c>
      <c r="B146" s="1" t="s">
        <v>414</v>
      </c>
      <c r="C146" s="110" t="s">
        <v>403</v>
      </c>
      <c r="D146" s="14"/>
      <c r="E146" s="19">
        <f>+E147</f>
        <v>47.599999999999994</v>
      </c>
      <c r="F146" s="19">
        <f>+F147</f>
        <v>0</v>
      </c>
    </row>
    <row r="147" spans="1:6" x14ac:dyDescent="0.25">
      <c r="A147" s="12">
        <v>138</v>
      </c>
      <c r="B147" s="1"/>
      <c r="C147" s="15" t="s">
        <v>178</v>
      </c>
      <c r="D147" s="14" t="s">
        <v>62</v>
      </c>
      <c r="E147" s="19">
        <f>20.7+26.9</f>
        <v>47.599999999999994</v>
      </c>
      <c r="F147" s="19"/>
    </row>
    <row r="148" spans="1:6" ht="66" x14ac:dyDescent="0.25">
      <c r="A148" s="12">
        <v>139</v>
      </c>
      <c r="B148" s="1" t="s">
        <v>415</v>
      </c>
      <c r="C148" s="110" t="s">
        <v>402</v>
      </c>
      <c r="D148" s="14"/>
      <c r="E148" s="19">
        <f>+E149</f>
        <v>3.3</v>
      </c>
      <c r="F148" s="19">
        <f>+F149</f>
        <v>0</v>
      </c>
    </row>
    <row r="149" spans="1:6" x14ac:dyDescent="0.25">
      <c r="A149" s="12">
        <v>140</v>
      </c>
      <c r="B149" s="1"/>
      <c r="C149" s="15" t="s">
        <v>178</v>
      </c>
      <c r="D149" s="14" t="s">
        <v>62</v>
      </c>
      <c r="E149" s="19">
        <v>3.3</v>
      </c>
      <c r="F149" s="19"/>
    </row>
    <row r="150" spans="1:6" x14ac:dyDescent="0.25">
      <c r="A150" s="12">
        <v>141</v>
      </c>
      <c r="B150" s="11" t="s">
        <v>63</v>
      </c>
      <c r="C150" s="17" t="s">
        <v>110</v>
      </c>
      <c r="D150" s="18"/>
      <c r="E150" s="106">
        <f>+E151</f>
        <v>2.4</v>
      </c>
      <c r="F150" s="106">
        <f>+F151</f>
        <v>2.4</v>
      </c>
    </row>
    <row r="151" spans="1:6" ht="52.8" x14ac:dyDescent="0.25">
      <c r="A151" s="12">
        <v>142</v>
      </c>
      <c r="B151" s="1" t="s">
        <v>193</v>
      </c>
      <c r="C151" s="62" t="s">
        <v>270</v>
      </c>
      <c r="D151" s="18"/>
      <c r="E151" s="34">
        <f>+E152</f>
        <v>2.4</v>
      </c>
      <c r="F151" s="34">
        <f>+F152</f>
        <v>2.4</v>
      </c>
    </row>
    <row r="152" spans="1:6" x14ac:dyDescent="0.25">
      <c r="A152" s="12">
        <v>143</v>
      </c>
      <c r="B152" s="1"/>
      <c r="C152" s="24" t="s">
        <v>78</v>
      </c>
      <c r="D152" s="1" t="s">
        <v>64</v>
      </c>
      <c r="E152" s="19">
        <v>2.4</v>
      </c>
      <c r="F152" s="19">
        <v>2.4</v>
      </c>
    </row>
    <row r="153" spans="1:6" x14ac:dyDescent="0.25">
      <c r="A153" s="12">
        <v>144</v>
      </c>
      <c r="B153" s="11" t="s">
        <v>65</v>
      </c>
      <c r="C153" s="17" t="s">
        <v>66</v>
      </c>
      <c r="D153" s="18"/>
      <c r="E153" s="126">
        <f>+E154+E156+E160+E163</f>
        <v>655.19999999999993</v>
      </c>
      <c r="F153" s="126">
        <f>+F154+F156+F160+F163</f>
        <v>17.3</v>
      </c>
    </row>
    <row r="154" spans="1:6" ht="26.4" x14ac:dyDescent="0.25">
      <c r="A154" s="12">
        <v>145</v>
      </c>
      <c r="B154" s="1" t="s">
        <v>184</v>
      </c>
      <c r="C154" s="62" t="s">
        <v>273</v>
      </c>
      <c r="D154" s="18"/>
      <c r="E154" s="19">
        <f>+E155</f>
        <v>55.5</v>
      </c>
      <c r="F154" s="19">
        <f>+F155</f>
        <v>0</v>
      </c>
    </row>
    <row r="155" spans="1:6" ht="26.4" x14ac:dyDescent="0.25">
      <c r="A155" s="12">
        <v>146</v>
      </c>
      <c r="B155" s="1"/>
      <c r="C155" s="15" t="s">
        <v>47</v>
      </c>
      <c r="D155" s="1" t="s">
        <v>68</v>
      </c>
      <c r="E155" s="19">
        <v>55.5</v>
      </c>
      <c r="F155" s="19"/>
    </row>
    <row r="156" spans="1:6" ht="52.8" x14ac:dyDescent="0.25">
      <c r="A156" s="12">
        <v>147</v>
      </c>
      <c r="B156" s="1" t="s">
        <v>183</v>
      </c>
      <c r="C156" s="62" t="s">
        <v>270</v>
      </c>
      <c r="D156" s="18"/>
      <c r="E156" s="19">
        <f>SUM(E157:E159)</f>
        <v>16.899999999999999</v>
      </c>
      <c r="F156" s="19">
        <f>SUM(F157:F159)</f>
        <v>16.7</v>
      </c>
    </row>
    <row r="157" spans="1:6" x14ac:dyDescent="0.25">
      <c r="A157" s="12">
        <v>148</v>
      </c>
      <c r="B157" s="1"/>
      <c r="C157" s="24" t="s">
        <v>43</v>
      </c>
      <c r="D157" s="1" t="s">
        <v>67</v>
      </c>
      <c r="E157" s="19">
        <v>4.9000000000000004</v>
      </c>
      <c r="F157" s="19">
        <v>4.8</v>
      </c>
    </row>
    <row r="158" spans="1:6" ht="26.4" x14ac:dyDescent="0.25">
      <c r="A158" s="12">
        <v>149</v>
      </c>
      <c r="B158" s="1"/>
      <c r="C158" s="15" t="s">
        <v>47</v>
      </c>
      <c r="D158" s="1" t="s">
        <v>68</v>
      </c>
      <c r="E158" s="19">
        <v>9.6</v>
      </c>
      <c r="F158" s="19">
        <v>9.5</v>
      </c>
    </row>
    <row r="159" spans="1:6" x14ac:dyDescent="0.25">
      <c r="A159" s="12">
        <v>150</v>
      </c>
      <c r="B159" s="1"/>
      <c r="C159" s="49" t="s">
        <v>42</v>
      </c>
      <c r="D159" s="1" t="s">
        <v>69</v>
      </c>
      <c r="E159" s="19">
        <v>2.4</v>
      </c>
      <c r="F159" s="19">
        <v>2.4</v>
      </c>
    </row>
    <row r="160" spans="1:6" ht="26.4" x14ac:dyDescent="0.25">
      <c r="A160" s="12">
        <v>151</v>
      </c>
      <c r="B160" s="1" t="s">
        <v>194</v>
      </c>
      <c r="C160" s="62" t="s">
        <v>327</v>
      </c>
      <c r="D160" s="18"/>
      <c r="E160" s="34">
        <f>+E161</f>
        <v>550</v>
      </c>
      <c r="F160" s="34">
        <f>+F161</f>
        <v>0</v>
      </c>
    </row>
    <row r="161" spans="1:12" x14ac:dyDescent="0.25">
      <c r="A161" s="12">
        <v>152</v>
      </c>
      <c r="B161" s="1"/>
      <c r="C161" s="15" t="s">
        <v>3</v>
      </c>
      <c r="D161" s="18"/>
      <c r="E161" s="19">
        <f>+E162</f>
        <v>550</v>
      </c>
      <c r="F161" s="19">
        <f>+F162</f>
        <v>0</v>
      </c>
    </row>
    <row r="162" spans="1:12" ht="26.4" x14ac:dyDescent="0.25">
      <c r="A162" s="12">
        <v>153</v>
      </c>
      <c r="B162" s="1"/>
      <c r="C162" s="52" t="s">
        <v>192</v>
      </c>
      <c r="D162" s="18" t="s">
        <v>67</v>
      </c>
      <c r="E162" s="19">
        <v>550</v>
      </c>
      <c r="F162" s="19"/>
    </row>
    <row r="163" spans="1:12" ht="26.4" x14ac:dyDescent="0.25">
      <c r="A163" s="12">
        <v>154</v>
      </c>
      <c r="B163" s="1" t="s">
        <v>397</v>
      </c>
      <c r="C163" s="62" t="s">
        <v>395</v>
      </c>
      <c r="D163" s="127"/>
      <c r="E163" s="19">
        <f>+E164</f>
        <v>32.799999999999997</v>
      </c>
      <c r="F163" s="19">
        <f>+F164</f>
        <v>0.6</v>
      </c>
    </row>
    <row r="164" spans="1:12" x14ac:dyDescent="0.25">
      <c r="A164" s="12">
        <v>155</v>
      </c>
      <c r="B164" s="1"/>
      <c r="C164" s="15" t="s">
        <v>3</v>
      </c>
      <c r="D164" s="127" t="s">
        <v>396</v>
      </c>
      <c r="E164" s="19">
        <v>32.799999999999997</v>
      </c>
      <c r="F164" s="19">
        <v>0.6</v>
      </c>
    </row>
    <row r="165" spans="1:12" ht="26.4" x14ac:dyDescent="0.25">
      <c r="A165" s="12">
        <v>156</v>
      </c>
      <c r="B165" s="11" t="s">
        <v>70</v>
      </c>
      <c r="C165" s="112" t="s">
        <v>71</v>
      </c>
      <c r="D165" s="1"/>
      <c r="E165" s="19">
        <f>+E166</f>
        <v>3008.3</v>
      </c>
      <c r="F165" s="19">
        <f>+F166</f>
        <v>0</v>
      </c>
    </row>
    <row r="166" spans="1:12" ht="26.4" x14ac:dyDescent="0.25">
      <c r="A166" s="12">
        <v>157</v>
      </c>
      <c r="B166" s="1" t="s">
        <v>366</v>
      </c>
      <c r="C166" s="110" t="s">
        <v>367</v>
      </c>
      <c r="D166" s="1"/>
      <c r="E166" s="34">
        <f>+E167</f>
        <v>3008.3</v>
      </c>
      <c r="F166" s="34">
        <f>+F167</f>
        <v>0</v>
      </c>
    </row>
    <row r="167" spans="1:12" x14ac:dyDescent="0.25">
      <c r="A167" s="12">
        <v>158</v>
      </c>
      <c r="B167" s="11"/>
      <c r="C167" s="15" t="s">
        <v>3</v>
      </c>
      <c r="D167" s="1" t="s">
        <v>333</v>
      </c>
      <c r="E167" s="19">
        <v>3008.3</v>
      </c>
      <c r="F167" s="19"/>
    </row>
    <row r="168" spans="1:12" x14ac:dyDescent="0.25">
      <c r="A168" s="12">
        <v>159</v>
      </c>
      <c r="B168" s="11" t="s">
        <v>72</v>
      </c>
      <c r="C168" s="17" t="s">
        <v>73</v>
      </c>
      <c r="D168" s="1"/>
      <c r="E168" s="106">
        <f>+E169+E171</f>
        <v>33.200000000000003</v>
      </c>
      <c r="F168" s="106">
        <f>+F169+F171</f>
        <v>0</v>
      </c>
    </row>
    <row r="169" spans="1:12" ht="26.4" x14ac:dyDescent="0.25">
      <c r="A169" s="12">
        <v>160</v>
      </c>
      <c r="B169" s="1" t="s">
        <v>186</v>
      </c>
      <c r="C169" s="110" t="s">
        <v>254</v>
      </c>
      <c r="D169" s="1"/>
      <c r="E169" s="34">
        <f>+E170</f>
        <v>8.1999999999999993</v>
      </c>
      <c r="F169" s="34">
        <f>+F170</f>
        <v>0</v>
      </c>
    </row>
    <row r="170" spans="1:12" x14ac:dyDescent="0.25">
      <c r="A170" s="12">
        <v>161</v>
      </c>
      <c r="B170" s="1"/>
      <c r="C170" s="35" t="s">
        <v>3</v>
      </c>
      <c r="D170" s="1" t="s">
        <v>85</v>
      </c>
      <c r="E170" s="19">
        <v>8.1999999999999993</v>
      </c>
      <c r="F170" s="19"/>
    </row>
    <row r="171" spans="1:12" ht="26.4" x14ac:dyDescent="0.25">
      <c r="A171" s="12">
        <v>162</v>
      </c>
      <c r="B171" s="1" t="s">
        <v>329</v>
      </c>
      <c r="C171" s="123" t="s">
        <v>189</v>
      </c>
      <c r="D171" s="1"/>
      <c r="E171" s="34">
        <f>+E172</f>
        <v>25</v>
      </c>
      <c r="F171" s="34">
        <f>+F172</f>
        <v>0</v>
      </c>
    </row>
    <row r="172" spans="1:12" x14ac:dyDescent="0.25">
      <c r="A172" s="12">
        <v>163</v>
      </c>
      <c r="B172" s="1"/>
      <c r="C172" s="35" t="s">
        <v>3</v>
      </c>
      <c r="D172" s="14" t="s">
        <v>92</v>
      </c>
      <c r="E172" s="19">
        <v>25</v>
      </c>
      <c r="F172" s="19"/>
      <c r="L172" s="4"/>
    </row>
    <row r="173" spans="1:12" x14ac:dyDescent="0.25">
      <c r="A173" s="12">
        <v>164</v>
      </c>
      <c r="B173" s="11" t="s">
        <v>74</v>
      </c>
      <c r="C173" s="17" t="s">
        <v>75</v>
      </c>
      <c r="D173" s="14"/>
      <c r="E173" s="19">
        <f>+E174</f>
        <v>27.3</v>
      </c>
      <c r="F173" s="19"/>
    </row>
    <row r="174" spans="1:12" ht="66" x14ac:dyDescent="0.25">
      <c r="A174" s="12">
        <v>165</v>
      </c>
      <c r="B174" s="1"/>
      <c r="C174" s="123" t="s">
        <v>404</v>
      </c>
      <c r="D174" s="14"/>
      <c r="E174" s="19">
        <f>+E175</f>
        <v>27.3</v>
      </c>
      <c r="F174" s="19"/>
    </row>
    <row r="175" spans="1:12" x14ac:dyDescent="0.25">
      <c r="A175" s="12">
        <v>166</v>
      </c>
      <c r="B175" s="1"/>
      <c r="C175" s="35" t="s">
        <v>3</v>
      </c>
      <c r="D175" s="1" t="s">
        <v>405</v>
      </c>
      <c r="E175" s="19">
        <v>27.3</v>
      </c>
      <c r="F175" s="19"/>
    </row>
    <row r="176" spans="1:12" x14ac:dyDescent="0.25">
      <c r="A176" s="12">
        <v>167</v>
      </c>
      <c r="B176" s="11" t="s">
        <v>25</v>
      </c>
      <c r="C176" s="17" t="s">
        <v>26</v>
      </c>
      <c r="D176" s="1"/>
      <c r="E176" s="19">
        <f>+E177+E179</f>
        <v>28.4</v>
      </c>
      <c r="F176" s="19">
        <f>+F177+F179</f>
        <v>0</v>
      </c>
    </row>
    <row r="177" spans="1:6" ht="44.25" customHeight="1" x14ac:dyDescent="0.25">
      <c r="A177" s="12">
        <v>168</v>
      </c>
      <c r="B177" s="1" t="s">
        <v>33</v>
      </c>
      <c r="C177" s="62" t="s">
        <v>363</v>
      </c>
      <c r="D177" s="128"/>
      <c r="E177" s="34">
        <f>+E178</f>
        <v>22.3</v>
      </c>
      <c r="F177" s="34">
        <f>+F178</f>
        <v>0</v>
      </c>
    </row>
    <row r="178" spans="1:6" x14ac:dyDescent="0.25">
      <c r="A178" s="12">
        <v>169</v>
      </c>
      <c r="B178" s="1"/>
      <c r="C178" s="52" t="s">
        <v>3</v>
      </c>
      <c r="D178" s="18" t="s">
        <v>84</v>
      </c>
      <c r="E178" s="19">
        <v>22.3</v>
      </c>
      <c r="F178" s="19"/>
    </row>
    <row r="179" spans="1:6" ht="52.8" x14ac:dyDescent="0.25">
      <c r="A179" s="12">
        <v>170</v>
      </c>
      <c r="B179" s="1"/>
      <c r="C179" s="62" t="s">
        <v>401</v>
      </c>
      <c r="D179" s="18"/>
      <c r="E179" s="19">
        <f>+E180</f>
        <v>6.1</v>
      </c>
      <c r="F179" s="19">
        <f>+F180</f>
        <v>0</v>
      </c>
    </row>
    <row r="180" spans="1:6" x14ac:dyDescent="0.25">
      <c r="A180" s="12">
        <v>171</v>
      </c>
      <c r="B180" s="1"/>
      <c r="C180" s="52" t="s">
        <v>3</v>
      </c>
      <c r="D180" s="18">
        <v>10</v>
      </c>
      <c r="E180" s="19">
        <v>6.1</v>
      </c>
      <c r="F180" s="19"/>
    </row>
    <row r="181" spans="1:6" x14ac:dyDescent="0.25">
      <c r="A181" s="12">
        <v>172</v>
      </c>
      <c r="B181" s="11"/>
      <c r="C181" s="28" t="s">
        <v>20</v>
      </c>
      <c r="D181" s="1"/>
      <c r="E181" s="44">
        <f>+E10++E89+E92+E150+E153+E165+E168+E176+E173</f>
        <v>6609.2999999999993</v>
      </c>
      <c r="F181" s="44">
        <f>+F10++F89+F92+F150+F153+F165+F168+F176+F173</f>
        <v>550.39999999999986</v>
      </c>
    </row>
    <row r="182" spans="1:6" x14ac:dyDescent="0.25">
      <c r="C182" s="55" t="s">
        <v>79</v>
      </c>
      <c r="D182" s="7"/>
      <c r="E182" s="20"/>
      <c r="F182" s="20"/>
    </row>
    <row r="183" spans="1:6" ht="13.5" customHeight="1" x14ac:dyDescent="0.25">
      <c r="C183" s="92"/>
      <c r="E183" s="20"/>
      <c r="F183" s="20"/>
    </row>
    <row r="184" spans="1:6" x14ac:dyDescent="0.25">
      <c r="C184" s="92"/>
      <c r="D184" s="2"/>
      <c r="E184" s="20"/>
      <c r="F184" s="20"/>
    </row>
    <row r="185" spans="1:6" x14ac:dyDescent="0.25">
      <c r="D185" s="5"/>
      <c r="E185" s="51"/>
      <c r="F185" s="51"/>
    </row>
    <row r="186" spans="1:6" x14ac:dyDescent="0.25">
      <c r="C186" s="129"/>
      <c r="E186" s="51"/>
      <c r="F186" s="51"/>
    </row>
    <row r="187" spans="1:6" x14ac:dyDescent="0.25">
      <c r="C187" s="130"/>
      <c r="E187" s="51"/>
      <c r="F187" s="51"/>
    </row>
    <row r="188" spans="1:6" x14ac:dyDescent="0.25">
      <c r="C188" s="131"/>
    </row>
    <row r="189" spans="1:6" x14ac:dyDescent="0.25">
      <c r="C189" s="129"/>
    </row>
    <row r="190" spans="1:6" x14ac:dyDescent="0.25">
      <c r="C190" s="71"/>
      <c r="E190" s="51"/>
    </row>
    <row r="194" spans="5:9" x14ac:dyDescent="0.25">
      <c r="E194" s="51"/>
      <c r="I194" s="38"/>
    </row>
    <row r="195" spans="5:9" x14ac:dyDescent="0.25">
      <c r="E195" s="51"/>
    </row>
    <row r="197" spans="5:9" x14ac:dyDescent="0.25">
      <c r="E197" s="51"/>
    </row>
  </sheetData>
  <mergeCells count="4">
    <mergeCell ref="C1:F1"/>
    <mergeCell ref="C2:F2"/>
    <mergeCell ref="E3:F3"/>
    <mergeCell ref="A5:F5"/>
  </mergeCells>
  <pageMargins left="0.70866141732283472" right="0" top="0.74803149606299213" bottom="0.74803149606299213" header="0.31496062992125984" footer="0.31496062992125984"/>
  <pageSetup paperSize="9" orientation="portrait" r:id="rId1"/>
</worksheet>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4" baseType="variant">
      <vt:variant>
        <vt:lpstr>Darbalapiai</vt:lpstr>
      </vt:variant>
      <vt:variant>
        <vt:i4>4</vt:i4>
      </vt:variant>
      <vt:variant>
        <vt:lpstr>Įvardinti diapazonai</vt:lpstr>
      </vt:variant>
      <vt:variant>
        <vt:i4>8</vt:i4>
      </vt:variant>
    </vt:vector>
  </HeadingPairs>
  <TitlesOfParts>
    <vt:vector size="12" baseType="lpstr">
      <vt:lpstr>1 pr</vt:lpstr>
      <vt:lpstr>8 pr</vt:lpstr>
      <vt:lpstr>9 pr</vt:lpstr>
      <vt:lpstr>10 pr</vt:lpstr>
      <vt:lpstr>'1 pr'!Print_Area</vt:lpstr>
      <vt:lpstr>'10 pr'!Print_Area</vt:lpstr>
      <vt:lpstr>'8 pr'!Print_Area</vt:lpstr>
      <vt:lpstr>'9 pr'!Print_Area</vt:lpstr>
      <vt:lpstr>'1 pr'!Print_Titles</vt:lpstr>
      <vt:lpstr>'10 pr'!Print_Titles</vt:lpstr>
      <vt:lpstr>'8 pr'!Print_Titles</vt:lpstr>
      <vt:lpstr>'9 pr'!Print_Titles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V.Sirvaitiene</dc:creator>
  <cp:lastModifiedBy>Vartotoja</cp:lastModifiedBy>
  <cp:lastPrinted>2022-10-28T11:03:44Z</cp:lastPrinted>
  <dcterms:created xsi:type="dcterms:W3CDTF">1996-10-14T23:33:28Z</dcterms:created>
  <dcterms:modified xsi:type="dcterms:W3CDTF">2022-10-28T11:03:58Z</dcterms:modified>
</cp:coreProperties>
</file>