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Vartotoja\Desktop\39 POSĖDIS\SP\TS\"/>
    </mc:Choice>
  </mc:AlternateContent>
  <bookViews>
    <workbookView xWindow="0" yWindow="0" windowWidth="19200" windowHeight="7248" tabRatio="897" activeTab="3"/>
  </bookViews>
  <sheets>
    <sheet name="1 pr" sheetId="67" r:id="rId1"/>
    <sheet name="3 pr" sheetId="66" r:id="rId2"/>
    <sheet name="7 pr" sheetId="41" r:id="rId3"/>
    <sheet name="10 pr" sheetId="69" r:id="rId4"/>
  </sheets>
  <definedNames>
    <definedName name="_xlnm.Print_Area" localSheetId="0">'1 pr'!$A$1:$D$116</definedName>
    <definedName name="_xlnm.Print_Area" localSheetId="3">'10 pr'!$A$1:$F$158</definedName>
    <definedName name="_xlnm.Print_Area" localSheetId="1">'3 pr'!$A$57:$F$79</definedName>
    <definedName name="_xlnm.Print_Area" localSheetId="2">'7 pr'!$A$1:$F$44</definedName>
    <definedName name="_xlnm.Print_Titles" localSheetId="0">'1 pr'!$7:$7</definedName>
    <definedName name="_xlnm.Print_Titles" localSheetId="3">'10 pr'!$9:$9</definedName>
    <definedName name="_xlnm.Print_Titles" localSheetId="1">'3 pr'!$9:$9</definedName>
    <definedName name="_xlnm.Print_Titles" localSheetId="2">'7 pr'!$9:$9</definedName>
  </definedNames>
  <calcPr calcId="152511"/>
  <fileRecoveryPr autoRecover="0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F75" i="69" l="1"/>
  <c r="E75" i="69"/>
  <c r="F72" i="69"/>
  <c r="E72" i="69"/>
  <c r="F70" i="69"/>
  <c r="E70" i="69"/>
  <c r="F69" i="69"/>
  <c r="E69" i="69"/>
  <c r="F68" i="69"/>
  <c r="E68" i="69"/>
  <c r="F67" i="69"/>
  <c r="E67" i="69"/>
  <c r="F66" i="69"/>
  <c r="E66" i="69"/>
  <c r="F65" i="69"/>
  <c r="E65" i="69"/>
  <c r="F63" i="69"/>
  <c r="E63" i="69"/>
  <c r="F61" i="69"/>
  <c r="E61" i="69"/>
  <c r="F60" i="69"/>
  <c r="E60" i="69"/>
  <c r="F59" i="69"/>
  <c r="E59" i="69"/>
  <c r="F58" i="69"/>
  <c r="E58" i="69"/>
  <c r="F57" i="69"/>
  <c r="E57" i="69"/>
  <c r="F55" i="69"/>
  <c r="E55" i="69"/>
  <c r="F54" i="69"/>
  <c r="C69" i="67"/>
  <c r="E215" i="66"/>
  <c r="C94" i="67"/>
  <c r="E181" i="66"/>
  <c r="F129" i="66"/>
  <c r="F127" i="69"/>
  <c r="E127" i="69"/>
  <c r="F14" i="69"/>
  <c r="E197" i="66"/>
  <c r="F251" i="66"/>
  <c r="F243" i="66" s="1"/>
  <c r="F242" i="66" s="1"/>
  <c r="E253" i="66"/>
  <c r="E271" i="66"/>
  <c r="F193" i="66"/>
  <c r="F192" i="66" s="1"/>
  <c r="F191" i="66" s="1"/>
  <c r="E164" i="66"/>
  <c r="E161" i="66" s="1"/>
  <c r="E131" i="66"/>
  <c r="F78" i="69"/>
  <c r="E78" i="69"/>
  <c r="F87" i="69"/>
  <c r="F86" i="69" s="1"/>
  <c r="E87" i="69"/>
  <c r="E86" i="69"/>
  <c r="F81" i="69"/>
  <c r="E81" i="69"/>
  <c r="F76" i="69"/>
  <c r="E76" i="69"/>
  <c r="C19" i="67"/>
  <c r="C18" i="67" s="1"/>
  <c r="E281" i="66"/>
  <c r="E280" i="66" s="1"/>
  <c r="E277" i="66" s="1"/>
  <c r="E89" i="66"/>
  <c r="E93" i="66"/>
  <c r="E94" i="66"/>
  <c r="F121" i="69"/>
  <c r="F120" i="69" s="1"/>
  <c r="F100" i="69"/>
  <c r="F99" i="69"/>
  <c r="F33" i="41"/>
  <c r="F32" i="41" s="1"/>
  <c r="E226" i="66"/>
  <c r="E212" i="66"/>
  <c r="E207" i="66"/>
  <c r="E199" i="66"/>
  <c r="F143" i="69"/>
  <c r="F142" i="69"/>
  <c r="E143" i="69"/>
  <c r="E142" i="69" s="1"/>
  <c r="F122" i="69"/>
  <c r="E122" i="69"/>
  <c r="F151" i="69"/>
  <c r="F150" i="69" s="1"/>
  <c r="E151" i="69"/>
  <c r="E150" i="69" s="1"/>
  <c r="E194" i="66"/>
  <c r="F281" i="66"/>
  <c r="F280" i="66" s="1"/>
  <c r="F155" i="66"/>
  <c r="F154" i="66" s="1"/>
  <c r="F143" i="66" s="1"/>
  <c r="E155" i="66"/>
  <c r="E154" i="66" s="1"/>
  <c r="E119" i="69"/>
  <c r="E118" i="69" s="1"/>
  <c r="C60" i="67"/>
  <c r="E255" i="66"/>
  <c r="E144" i="66"/>
  <c r="E120" i="69"/>
  <c r="F118" i="69"/>
  <c r="C100" i="67"/>
  <c r="C93" i="67" s="1"/>
  <c r="C20" i="67"/>
  <c r="E36" i="66"/>
  <c r="F161" i="66"/>
  <c r="E99" i="69"/>
  <c r="F116" i="66"/>
  <c r="E116" i="66"/>
  <c r="F115" i="66"/>
  <c r="E115" i="66"/>
  <c r="F114" i="66"/>
  <c r="E114" i="66"/>
  <c r="F113" i="66"/>
  <c r="E113" i="66"/>
  <c r="F112" i="66"/>
  <c r="E112" i="66"/>
  <c r="F111" i="66"/>
  <c r="E111" i="66"/>
  <c r="F110" i="66"/>
  <c r="E110" i="66"/>
  <c r="F109" i="66"/>
  <c r="E109" i="66"/>
  <c r="F108" i="66"/>
  <c r="E108" i="66"/>
  <c r="F107" i="66"/>
  <c r="E107" i="66"/>
  <c r="F106" i="66"/>
  <c r="E106" i="66"/>
  <c r="F87" i="66"/>
  <c r="E87" i="66"/>
  <c r="F86" i="66"/>
  <c r="E86" i="66"/>
  <c r="F85" i="66"/>
  <c r="E85" i="66"/>
  <c r="F84" i="66"/>
  <c r="E84" i="66"/>
  <c r="F81" i="66"/>
  <c r="E81" i="66"/>
  <c r="F101" i="69"/>
  <c r="E101" i="69"/>
  <c r="F269" i="66"/>
  <c r="F267" i="66"/>
  <c r="F266" i="66" s="1"/>
  <c r="E244" i="66"/>
  <c r="F173" i="66"/>
  <c r="F170" i="66"/>
  <c r="F167" i="66" s="1"/>
  <c r="F101" i="66"/>
  <c r="F88" i="66" s="1"/>
  <c r="F47" i="66"/>
  <c r="E47" i="66"/>
  <c r="E42" i="66" s="1"/>
  <c r="E10" i="66" s="1"/>
  <c r="E270" i="66"/>
  <c r="E66" i="66"/>
  <c r="E252" i="66"/>
  <c r="E251" i="66" s="1"/>
  <c r="E247" i="66"/>
  <c r="E257" i="66"/>
  <c r="E36" i="41"/>
  <c r="E33" i="41" s="1"/>
  <c r="E32" i="41" s="1"/>
  <c r="E220" i="66"/>
  <c r="E175" i="66"/>
  <c r="E173" i="66" s="1"/>
  <c r="E172" i="66"/>
  <c r="E170" i="66" s="1"/>
  <c r="E150" i="66"/>
  <c r="E151" i="66"/>
  <c r="E149" i="66"/>
  <c r="E148" i="66"/>
  <c r="E147" i="66"/>
  <c r="E146" i="66"/>
  <c r="E145" i="66"/>
  <c r="F43" i="66"/>
  <c r="F42" i="66" s="1"/>
  <c r="F10" i="66" s="1"/>
  <c r="E43" i="66"/>
  <c r="E102" i="66"/>
  <c r="E101" i="66"/>
  <c r="C84" i="67"/>
  <c r="C74" i="67" s="1"/>
  <c r="C80" i="67"/>
  <c r="C75" i="67"/>
  <c r="C64" i="67"/>
  <c r="C91" i="67"/>
  <c r="F303" i="66"/>
  <c r="E303" i="66"/>
  <c r="F300" i="66"/>
  <c r="E300" i="66"/>
  <c r="F293" i="66"/>
  <c r="E293" i="66"/>
  <c r="F97" i="69"/>
  <c r="E97" i="69"/>
  <c r="C48" i="67"/>
  <c r="F39" i="41"/>
  <c r="F38" i="41"/>
  <c r="E39" i="41"/>
  <c r="E38" i="41" s="1"/>
  <c r="F29" i="41"/>
  <c r="F28" i="41" s="1"/>
  <c r="E29" i="41"/>
  <c r="E28" i="41"/>
  <c r="F14" i="41"/>
  <c r="F13" i="41" s="1"/>
  <c r="E14" i="41"/>
  <c r="E13" i="41"/>
  <c r="E58" i="66"/>
  <c r="F76" i="66"/>
  <c r="F60" i="66" s="1"/>
  <c r="F57" i="66" s="1"/>
  <c r="E76" i="66"/>
  <c r="E60" i="66" s="1"/>
  <c r="C102" i="67"/>
  <c r="C27" i="67"/>
  <c r="C22" i="67"/>
  <c r="C15" i="67"/>
  <c r="C11" i="67"/>
  <c r="F25" i="41"/>
  <c r="F24" i="41"/>
  <c r="E25" i="41"/>
  <c r="E24" i="41" s="1"/>
  <c r="F273" i="66"/>
  <c r="F272" i="66"/>
  <c r="E273" i="66"/>
  <c r="E272" i="66" s="1"/>
  <c r="F29" i="69"/>
  <c r="E29" i="69"/>
  <c r="F90" i="69"/>
  <c r="E90" i="69"/>
  <c r="E14" i="69"/>
  <c r="F306" i="66"/>
  <c r="E306" i="66"/>
  <c r="F304" i="66"/>
  <c r="E304" i="66"/>
  <c r="F301" i="66"/>
  <c r="E301" i="66"/>
  <c r="F298" i="66"/>
  <c r="E298" i="66"/>
  <c r="F296" i="66"/>
  <c r="E296" i="66"/>
  <c r="F294" i="66"/>
  <c r="E294" i="66"/>
  <c r="F291" i="66"/>
  <c r="E291" i="66"/>
  <c r="F289" i="66"/>
  <c r="E289" i="66"/>
  <c r="F11" i="41"/>
  <c r="F10" i="41" s="1"/>
  <c r="E11" i="41"/>
  <c r="E10" i="41" s="1"/>
  <c r="E168" i="66"/>
  <c r="F121" i="66"/>
  <c r="E121" i="66"/>
  <c r="E146" i="69"/>
  <c r="E145" i="69" s="1"/>
  <c r="F148" i="69"/>
  <c r="E148" i="69"/>
  <c r="F146" i="69"/>
  <c r="F140" i="69"/>
  <c r="F139" i="69" s="1"/>
  <c r="E140" i="69"/>
  <c r="E139" i="69" s="1"/>
  <c r="E132" i="69" s="1"/>
  <c r="F135" i="69"/>
  <c r="E135" i="69"/>
  <c r="F133" i="69"/>
  <c r="E133" i="69"/>
  <c r="F130" i="69"/>
  <c r="F129" i="69" s="1"/>
  <c r="E130" i="69"/>
  <c r="E129" i="69"/>
  <c r="F95" i="69"/>
  <c r="E95" i="69"/>
  <c r="F84" i="69"/>
  <c r="F83" i="69"/>
  <c r="E84" i="69"/>
  <c r="E83" i="69" s="1"/>
  <c r="F52" i="69"/>
  <c r="E52" i="69"/>
  <c r="E11" i="69"/>
  <c r="F11" i="69"/>
  <c r="E22" i="41"/>
  <c r="E21" i="41"/>
  <c r="F22" i="41"/>
  <c r="F21" i="41" s="1"/>
  <c r="F17" i="41"/>
  <c r="F16" i="41" s="1"/>
  <c r="E17" i="41"/>
  <c r="E16" i="41" s="1"/>
  <c r="C21" i="67"/>
  <c r="E129" i="66"/>
  <c r="E119" i="66" s="1"/>
  <c r="E117" i="66" s="1"/>
  <c r="F145" i="69"/>
  <c r="E167" i="66" l="1"/>
  <c r="F80" i="66"/>
  <c r="F308" i="66" s="1"/>
  <c r="F277" i="66"/>
  <c r="F132" i="69"/>
  <c r="C8" i="67"/>
  <c r="E243" i="66"/>
  <c r="E242" i="66" s="1"/>
  <c r="E193" i="66"/>
  <c r="E192" i="66" s="1"/>
  <c r="E191" i="66" s="1"/>
  <c r="F89" i="69"/>
  <c r="E54" i="69"/>
  <c r="E10" i="69"/>
  <c r="E143" i="66"/>
  <c r="C50" i="67"/>
  <c r="C17" i="67" s="1"/>
  <c r="C90" i="67" s="1"/>
  <c r="C92" i="67" s="1"/>
  <c r="C103" i="67" s="1"/>
  <c r="E269" i="66"/>
  <c r="E267" i="66" s="1"/>
  <c r="E266" i="66" s="1"/>
  <c r="F119" i="66"/>
  <c r="F117" i="66" s="1"/>
  <c r="F10" i="69"/>
  <c r="E57" i="66"/>
  <c r="E88" i="66"/>
  <c r="E80" i="66" s="1"/>
  <c r="E308" i="66" s="1"/>
  <c r="E89" i="69"/>
  <c r="E153" i="69" s="1"/>
  <c r="E42" i="41"/>
  <c r="F42" i="41"/>
  <c r="F153" i="69"/>
</calcChain>
</file>

<file path=xl/sharedStrings.xml><?xml version="1.0" encoding="utf-8"?>
<sst xmlns="http://purl.oclc.org/ooxml/spreadsheetml/main" count="1275" uniqueCount="734">
  <si>
    <t>Eil. Nr.</t>
  </si>
  <si>
    <t>Kėdainių bendruomenės socialinis centras</t>
  </si>
  <si>
    <t>Dotnuvos slaugos namai</t>
  </si>
  <si>
    <t xml:space="preserve">Kėdainių rajono savivaldybės administracija </t>
  </si>
  <si>
    <t>Kėdainių rajono savivaldybės administracijos Dotnuvos seniūnija</t>
  </si>
  <si>
    <t>Kėdainių rajono savivaldybės administracijos Gudžiūnų seniūnija</t>
  </si>
  <si>
    <t>Kėdainių rajono savivaldybės administracijos Krakių seniūnija</t>
  </si>
  <si>
    <t>Kėdainių rajono savivaldybės administracijos Josvainių seniūnija</t>
  </si>
  <si>
    <t>Kėdainių rajono savivaldybės administracijos Kėdainių miesto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</si>
  <si>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</si>
  <si>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</si>
  <si>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Šėtos seniūnija</t>
  </si>
  <si>
    <t>Kėdainių rajono savivaldybės administracijos Surviliškio seniūnija</t>
  </si>
  <si>
    <t>Kėdainių rajono savivaldybės administracijos Truskavos seniūnija</t>
  </si>
  <si>
    <t>Kėdainių rajono savivaldybės administracijos Vilainių seniūnija</t>
  </si>
  <si>
    <t>Josvainių socialinis ir ugdymo centras</t>
  </si>
  <si>
    <t>Asignavimų valdytojas</t>
  </si>
  <si>
    <t>Iš viso</t>
  </si>
  <si>
    <t>2</t>
  </si>
  <si>
    <t>Šėtos socialinis ir ugdymo  centras</t>
  </si>
  <si>
    <t>Iš viso asignavimų</t>
  </si>
  <si>
    <t>03</t>
  </si>
  <si>
    <t>SOCIALINĖS APSAUGOS PLĖTOJIMAS</t>
  </si>
  <si>
    <t>10.04.01.01</t>
  </si>
  <si>
    <t>10.01.02.02</t>
  </si>
  <si>
    <t>11</t>
  </si>
  <si>
    <t>SAVIVALDYBĖS VALDYMO TOBULINIMAS</t>
  </si>
  <si>
    <t>Kėdainių rajono savivaldybės priešgaisrinė tarnyba</t>
  </si>
  <si>
    <t>03.02.01.01</t>
  </si>
  <si>
    <t>iš jų darbo užmokesčiui</t>
  </si>
  <si>
    <t>4</t>
  </si>
  <si>
    <t>10.04.01.40</t>
  </si>
  <si>
    <t>09</t>
  </si>
  <si>
    <t xml:space="preserve"> ŽEMĖS ŪKIO PLĖTRA IR MELIORACIJA</t>
  </si>
  <si>
    <t>11.1</t>
  </si>
  <si>
    <t>11.2</t>
  </si>
  <si>
    <t>01.06.01.02</t>
  </si>
  <si>
    <t>04.01.02.01</t>
  </si>
  <si>
    <t>Kėdainių r. Krakių Mikalojaus Katkaus gimnazija</t>
  </si>
  <si>
    <t>Kėdainių r. Dotnuvos pagrindinė mokykla</t>
  </si>
  <si>
    <t>Kėdainių r. Surviliškio Vinco Svirskio pagrindinė mokykla</t>
  </si>
  <si>
    <t>Kėdainių krašto muziejus</t>
  </si>
  <si>
    <t>Kėdainių kultūros centras</t>
  </si>
  <si>
    <t>Krakių kultūros centras</t>
  </si>
  <si>
    <t>Kėdainių šviesioji gimnazija</t>
  </si>
  <si>
    <t>Kėdainių kalbų mokykla</t>
  </si>
  <si>
    <t>Kėdainių muzikos  mokykla</t>
  </si>
  <si>
    <t>Akademijos kultūros centras</t>
  </si>
  <si>
    <t>Josvainių kultūros centras</t>
  </si>
  <si>
    <t>Šėtos kultūros centras</t>
  </si>
  <si>
    <t>Truskavos kultūros centras</t>
  </si>
  <si>
    <t>Kėdainių rajono savivaldybės Mikalojaus Daukšos viešoji biblioteka</t>
  </si>
  <si>
    <t>Kėdainių dailės mokykla</t>
  </si>
  <si>
    <t>Funkcijos kodas</t>
  </si>
  <si>
    <t>01</t>
  </si>
  <si>
    <t>ŠVIETIMAS IR UGDYMAS</t>
  </si>
  <si>
    <t>09.01.01.01</t>
  </si>
  <si>
    <t>09.01.02.01</t>
  </si>
  <si>
    <t>09.02.02.01</t>
  </si>
  <si>
    <t>09.02.01.01</t>
  </si>
  <si>
    <t>09.05.01.01</t>
  </si>
  <si>
    <t>09.08.01.01</t>
  </si>
  <si>
    <t>09.06.01.01</t>
  </si>
  <si>
    <t>02</t>
  </si>
  <si>
    <t>SVEIKATOS APSAUGA</t>
  </si>
  <si>
    <t>07.01.03.01</t>
  </si>
  <si>
    <t>07.02.03.01</t>
  </si>
  <si>
    <t>07.03.01.01</t>
  </si>
  <si>
    <t>07.06.01.02</t>
  </si>
  <si>
    <t>10.01.02.02
10.07.01.01
10.09.01.01</t>
  </si>
  <si>
    <t>10.02.01.02</t>
  </si>
  <si>
    <t>10.07.01.01</t>
  </si>
  <si>
    <t>10.06.01.01</t>
  </si>
  <si>
    <t>09.06.01.01
10.01.02.40
10.02.01.40</t>
  </si>
  <si>
    <t>10.01.02.40</t>
  </si>
  <si>
    <t>04</t>
  </si>
  <si>
    <t>08.01.01.03</t>
  </si>
  <si>
    <t>05</t>
  </si>
  <si>
    <t>KULTŪROS VEIKLOS PLĖTRA</t>
  </si>
  <si>
    <t>08.02.01.08</t>
  </si>
  <si>
    <t>08.02.01.01</t>
  </si>
  <si>
    <t>08.02.01.02</t>
  </si>
  <si>
    <t>08.04.01.01</t>
  </si>
  <si>
    <t>07</t>
  </si>
  <si>
    <t>INFRASTRUKTŪROS OBJEKTŲ  PRIEŽIŪRA IR PLĖTRA</t>
  </si>
  <si>
    <t>06.04.01.01</t>
  </si>
  <si>
    <t>04.05.01.02 06.04.01.01</t>
  </si>
  <si>
    <t>06.01.01.01</t>
  </si>
  <si>
    <t>08</t>
  </si>
  <si>
    <t>APLINKOS APSAUGA</t>
  </si>
  <si>
    <t xml:space="preserve">05.01.01.01
06.02.01.01                       </t>
  </si>
  <si>
    <t>05.01.01.01</t>
  </si>
  <si>
    <t xml:space="preserve">05.01.01.01  05.02.01.01
06.03.01.01                       </t>
  </si>
  <si>
    <t xml:space="preserve">05.01.01.01               </t>
  </si>
  <si>
    <t>10</t>
  </si>
  <si>
    <t>PARAMA VERSLUI IR VERSLO PLĖTRA</t>
  </si>
  <si>
    <t>04.01.01.01</t>
  </si>
  <si>
    <t>Kėdainių rajono savivaldybės kontrolės ir audito tarnyba</t>
  </si>
  <si>
    <t xml:space="preserve">Kėdainių rajono savivaldybės administracija  </t>
  </si>
  <si>
    <t>03.01.01.01</t>
  </si>
  <si>
    <t>04.05.01.01</t>
  </si>
  <si>
    <t>01.07.01.01</t>
  </si>
  <si>
    <t>3</t>
  </si>
  <si>
    <t xml:space="preserve">10.02.01.02 </t>
  </si>
  <si>
    <t>06</t>
  </si>
  <si>
    <t>KULTŪROS PAVELDO IŠSAUGOJIMAS, TURIZMO SKATINIMAS IR VYSTYMAS</t>
  </si>
  <si>
    <t>04.07.03.01</t>
  </si>
  <si>
    <t>10.01.02.01</t>
  </si>
  <si>
    <t xml:space="preserve">                                                               ___________________________________________</t>
  </si>
  <si>
    <t>07.06.01.09</t>
  </si>
  <si>
    <t>01.01.01.09</t>
  </si>
  <si>
    <t>Kėdainių suaugusiųjų ir jaunimo mokymo centras</t>
  </si>
  <si>
    <t>Kėdainių sporto centras</t>
  </si>
  <si>
    <t xml:space="preserve">                                                                                         ___________________________</t>
  </si>
  <si>
    <t xml:space="preserve">10.06.01.01 10.07.01.01
10.09.01.09 </t>
  </si>
  <si>
    <t>3 priedas</t>
  </si>
  <si>
    <t>08.02.01.07</t>
  </si>
  <si>
    <t>7 priedas</t>
  </si>
  <si>
    <t>Eil.   Nr.</t>
  </si>
  <si>
    <t>09.02.02.01
09.05.01.01</t>
  </si>
  <si>
    <t>Kėdainių Juozo Paukštelio progimnazija</t>
  </si>
  <si>
    <t>01.06.01.04</t>
  </si>
  <si>
    <t>Remontuoti objektus pagal administracijos direktoriaus įsakymus</t>
  </si>
  <si>
    <t>Likviduoti avarinius židinius</t>
  </si>
  <si>
    <t>Remontuoti biudžetinių įstaigų kiemus</t>
  </si>
  <si>
    <t>Remontuoti viešųjų ir biudžetinių įstaigų stogus</t>
  </si>
  <si>
    <t>08.06.01.01</t>
  </si>
  <si>
    <t>07.06.01.06</t>
  </si>
  <si>
    <t>04.09.01.01</t>
  </si>
  <si>
    <t>(tūkst. Eur)</t>
  </si>
  <si>
    <t>01.01.01.02
01.01.01.09
01.03.02.09
01.06.01.02
04.05.06.09 06.06.01.01
06.06.01.09</t>
  </si>
  <si>
    <t>05.03.01.01</t>
  </si>
  <si>
    <t>08.06.01.09</t>
  </si>
  <si>
    <t xml:space="preserve">Kėdainių švietimo pagalbos tarnyba </t>
  </si>
  <si>
    <t>Kėdainių r. Akademijos gimnazija</t>
  </si>
  <si>
    <t>Kėdainių r. Josvainių gimnazija</t>
  </si>
  <si>
    <t>Kėdainių r. Labūnavos pagrindinė mokykla</t>
  </si>
  <si>
    <t>Kėdainių r. Truskavos pagrindinė mokykla</t>
  </si>
  <si>
    <t>Kėdainių r. Šėtos  gimnazija</t>
  </si>
  <si>
    <t>10.06.01.01 10.07.01.01
10.09.01.09</t>
  </si>
  <si>
    <t xml:space="preserve">09.08.01.09    </t>
  </si>
  <si>
    <t xml:space="preserve">Rengti infrastruktūros objektų tvarkymo investicinius projektus, paraiškas, kitą techninę dokumentaciją  Europos Sąjungos fondų paramai gauti </t>
  </si>
  <si>
    <t>Rekonstruoti ir plėsti Kėdainių miesto paviršinių nuotekų tinklus</t>
  </si>
  <si>
    <t>Įgyvendinti Kėdainių rajono savivaldybės bažnyčių rėmimo programą</t>
  </si>
  <si>
    <t>10.01.02.02
10.06.01.01
10.09.01.01 
10.09.01.09</t>
  </si>
  <si>
    <t>08.02.01.06
08.06.01.09</t>
  </si>
  <si>
    <t>08.04.01.02</t>
  </si>
  <si>
    <t xml:space="preserve">04.07.03.01. </t>
  </si>
  <si>
    <t>05.06.01.01</t>
  </si>
  <si>
    <t>05.02.01.01.</t>
  </si>
  <si>
    <t>Vykdyti savivaldybės viešųjų teritorijų tvarkymą</t>
  </si>
  <si>
    <t>Įgyvendinti priemones, finansuojamas iš Savivaldybės administracijos direktoriaus rezervo</t>
  </si>
  <si>
    <t>Kėdainių r. Miegėnų pagrindinė mokykla</t>
  </si>
  <si>
    <t>Kėdainių pagalbos šeimai centras</t>
  </si>
  <si>
    <t xml:space="preserve">                                                                  Kėdainių rajono savivaldybės tarybos</t>
  </si>
  <si>
    <t>09.05.01.01  09.05.01.02 09.05.01.03</t>
  </si>
  <si>
    <t>Atnaujinti Lietuvos sporto universiteto Kėdainių  „Aušros“ progimnaziją, kuriant modernias ir saugias erdves</t>
  </si>
  <si>
    <t xml:space="preserve">Užtikrinti socialinio būsto fondo plėtrą Kėdainiuose </t>
  </si>
  <si>
    <t xml:space="preserve">Įrengti pėsčiųjų ir dviračių takus Pramonės g. Kėdainių mieste  </t>
  </si>
  <si>
    <t>Kompleksiškai atnaujinti daugiabučių namų kvartalus (II etapas)</t>
  </si>
  <si>
    <t>Atnaujinti ir plėsti komunalinių atliekų tvarkymo infrastruktūrą Kėdainių rajono savivaldybėje</t>
  </si>
  <si>
    <t xml:space="preserve">08.02.01.07
</t>
  </si>
  <si>
    <t>06.03.01.01</t>
  </si>
  <si>
    <t>04-08</t>
  </si>
  <si>
    <t>Rekonstruoti ir plėsti vandentiekio ir buitinių nuotekų infrastruktūrą Šėtos miestelyje, Kunionių kaime bei Kėdainių mieste</t>
  </si>
  <si>
    <t>09.</t>
  </si>
  <si>
    <t>01-10</t>
  </si>
  <si>
    <t>Kėdainių lopšelis-darželis „Pasaka“</t>
  </si>
  <si>
    <t>Kėdainių lopšelis-darželis „Puriena“</t>
  </si>
  <si>
    <t>Kėdainių lopšelis-darželis „Varpelis“</t>
  </si>
  <si>
    <t>Kėdainių lopšelis-darželis „Vyturėlis“</t>
  </si>
  <si>
    <t>Kėdainių lopšelis-darželis „Žilvitis“</t>
  </si>
  <si>
    <t>Kėdainių lopšelis-darželis „Vaikystė“</t>
  </si>
  <si>
    <t>Lietuvos sporto universiteto Kėdainių „Aušros“ progimnazija</t>
  </si>
  <si>
    <t>Kėdainių „Ryto“ progimnazija</t>
  </si>
  <si>
    <t>Kėdainių „Atžalyno“ gimnazija</t>
  </si>
  <si>
    <t>Kėdainių lopšelis-darželis „Aviliukas“</t>
  </si>
  <si>
    <t>Įgyvendinti projektą „Jonavos, Kėdainių ir Raseinių rajonų savivaldybes jungiančių trasų ir turizmo maršrutų informacinės infrastruktūros plėtra“</t>
  </si>
  <si>
    <t>Teikti kompleksines paslaugas šeimai Kėdainių rajone</t>
  </si>
  <si>
    <t>Tobulinti Kėdainių sporto centro infrastruktūrą (Parko g. 4, Vilainiai)</t>
  </si>
  <si>
    <t>56.1</t>
  </si>
  <si>
    <t>56.2</t>
  </si>
  <si>
    <t>56.3</t>
  </si>
  <si>
    <t>56.5</t>
  </si>
  <si>
    <t xml:space="preserve">Kėdainių rajono savivaldybės administracija iš viso: </t>
  </si>
  <si>
    <t>10.1</t>
  </si>
  <si>
    <t>Skatinti  savivaldybės gabius mokinius</t>
  </si>
  <si>
    <t>Kėdainių rajono savivaldybės visuomenės sveikatos biuras iš viso:</t>
  </si>
  <si>
    <t xml:space="preserve">07.04.01.02 </t>
  </si>
  <si>
    <t xml:space="preserve">Vykdyti ambulatorinės akušerinės ir ginekologinės pagalbos kokybės gerinimo Kėdainių rajono savivaldybės moterims 2019-2024 m. programą </t>
  </si>
  <si>
    <t xml:space="preserve">Didinti pirminės asmens sveikatos priežiūros veiklos efektyvumą VšĮ Kėdainių pirminės sveikatos priežiūros centre </t>
  </si>
  <si>
    <t>Aktualizuoti Kėdainių krašto muziejų, padidinant kultūros paveldo aktualumą, lankomumą ir žinomumą (įskaitant ekspozicijų atnaujinimą)</t>
  </si>
  <si>
    <t>Kėdainių rajono savivaldybės administracija iš viso :</t>
  </si>
  <si>
    <t xml:space="preserve">Finansuoti žvyro įsigijimą seniūnijų keliams prižiūrėti </t>
  </si>
  <si>
    <t xml:space="preserve">Finansuoti prevencinę programą „Saugios aplinkos kūrimas ir bendruomenės teisėtvarkos kūrimas" </t>
  </si>
  <si>
    <t>15.1</t>
  </si>
  <si>
    <t>4.1</t>
  </si>
  <si>
    <t>07.02.01.01</t>
  </si>
  <si>
    <t>10.06.01.40 06.01.01.01</t>
  </si>
  <si>
    <t>04.06.01.01</t>
  </si>
  <si>
    <t>Gerinti pirminės asmens sveikatos priežiūros paslaugų teikimo prieinamumą tuberkuliozės srityje</t>
  </si>
  <si>
    <t xml:space="preserve">iš jų: teikti integralią pagalbą į namus Kėdainių rajone </t>
  </si>
  <si>
    <t>Kėdainių rajono savivaldybės administracija iš viso:</t>
  </si>
  <si>
    <t>Finansuoti VšĮ Kėdainių turizmo ir verslo informacijos centro turizmo veiklos programą</t>
  </si>
  <si>
    <t xml:space="preserve">Įgyvendinti priemones, skirtas kovų už Lietuvos Nepriklausomybę vietoms ir paminklams įamžinti </t>
  </si>
  <si>
    <t>Kompleksiškai sutvarkyti Kėdainių Sinagogą (Smilgos g. 5A, Kėdainiai), pritaikant kultūrinėms bei kitoms reikmėms</t>
  </si>
  <si>
    <t>Finansuoti Kėdainių miesto vietos veiklos grupės 2016–2022 m. vietos plėtros strategijos įgyvendinimą</t>
  </si>
  <si>
    <t>Mokesčiai už valstybinius gamtos išteklius</t>
  </si>
  <si>
    <t>Kėdainių r. Vilainių mokykla-darželis „Obelėlė“</t>
  </si>
  <si>
    <t>Įgyvendinti  Kėdainių rajono savivaldybės mokytojų motyvacijos programą</t>
  </si>
  <si>
    <t>Koofinansuoti  švietimo įstaigų dalyvavimą infrastruktūros gerinimo/modernizavimo projektuose</t>
  </si>
  <si>
    <t>Finansuoti vaikų dienos centrų veiklos programas</t>
  </si>
  <si>
    <t>Pritaikyti viešąją aplinką specialiųjų poreikių turintiems gyventojams</t>
  </si>
  <si>
    <t>Finansuoti strateginių sporto šakų programas, iš jų:</t>
  </si>
  <si>
    <t>Finansuoti fizinio aktyvumo ir sporto veiklos projektus</t>
  </si>
  <si>
    <t>Užtikrinti rajono nevyriausybinių organizacijų (įskaitant bendruomenines organizacijas) plėtrą, finansuojant projektus socialinio, pilietinio, kultūros paveldo pažinimo, etninės kultūros puoselėjimo, užimtumo bei verslumo srityse</t>
  </si>
  <si>
    <t>Atnaujinti Truskavos kultūros centrą, pritaikant jį kaimo bendruomenės poreikiams bei kultūrinei veiklai</t>
  </si>
  <si>
    <t>Vykdyti atliekų tvarkymo sistemos organizavimo funkciją</t>
  </si>
  <si>
    <t>Likviduoti apleistus (bešeimininkius ar savivaldybei nuosavybės teise priklausančius) pastatus ir kitus aplinką žalojančius objektus</t>
  </si>
  <si>
    <t>Rengti projektus ir remontuoti gyvenviečių lietaus nuotekų-drenažų sistemas</t>
  </si>
  <si>
    <t>Finansuoti VšĮ Kėdainių turizmo ir verslo informacijos centro viešųjų paslaugų verslui  programą</t>
  </si>
  <si>
    <t>Mokėti palūkanas</t>
  </si>
  <si>
    <t xml:space="preserve">SPORTO VEIKLOS PLĖTRA </t>
  </si>
  <si>
    <t>Įgyvendinti priemones, skirtas žemo slenksčio paslaugų kokybės gerinimui Kėdainių rajono savivaldybėje</t>
  </si>
  <si>
    <t>07.06.01.05</t>
  </si>
  <si>
    <t>8</t>
  </si>
  <si>
    <t>05.02.01.01 
06.03.01.01</t>
  </si>
  <si>
    <t>05.02.01.01</t>
  </si>
  <si>
    <t>Kėdainių bokso federacijos veiklos programai</t>
  </si>
  <si>
    <t>Dalyvauti Kauno regiono plėtros agentūros veikloje</t>
  </si>
  <si>
    <t>Vykdyti endoskopinių paslaugų prieinamumo ir kokybės gerinimo Kėdainių rajono savivaldybėje 2020-2025 m. programą</t>
  </si>
  <si>
    <t>Rekonstruoti Kėdainių miesto nuotekų valyklą</t>
  </si>
  <si>
    <t>Kėdainių švietimo pagalbos tarnyba</t>
  </si>
  <si>
    <t>Kėdainių rajono savivaldybės visuomenės sveikatos biuras</t>
  </si>
  <si>
    <t xml:space="preserve">                                                                   _____________________________________                                                                                       </t>
  </si>
  <si>
    <t xml:space="preserve">09.02.01.01   </t>
  </si>
  <si>
    <t>07.04.01.02</t>
  </si>
  <si>
    <t>01.03.02.09</t>
  </si>
  <si>
    <t>02.1</t>
  </si>
  <si>
    <t>03.1</t>
  </si>
  <si>
    <t>03.2</t>
  </si>
  <si>
    <t>03.3</t>
  </si>
  <si>
    <t>03.4</t>
  </si>
  <si>
    <t>03.5</t>
  </si>
  <si>
    <t>04.02.01.01</t>
  </si>
  <si>
    <t>Vykdyti aplinkos apsaugos rėmimo specialiąją programą (pridedama 13 priedas)</t>
  </si>
  <si>
    <t>Vykdyti mamografijos paslaugų tęstinumo, kokybės gerinimo Kėdainių rajono savivaldybėje 2020-2025 m. programą</t>
  </si>
  <si>
    <t>09.02.01.01
09.02.02.01</t>
  </si>
  <si>
    <t xml:space="preserve"> 09.05.01.03</t>
  </si>
  <si>
    <t>Vykdyti VšĮ Kėdainių ligoninės dantų protezavimo  programą</t>
  </si>
  <si>
    <t xml:space="preserve">Vykdyti Kėdainių rajono tuberkuliozės prevencijos, ankstyvosios diagnostikos, gydymo ir kontrolės 2017–2022 m. programą </t>
  </si>
  <si>
    <t>Vykdyti pirminės asmens sveikatos priežiūros paslaugų prieinamumo ir kokybės užtikrinimo Kėdainių rajono kaimiškųjų vietovių gyventojams 2017–2023 m. programą</t>
  </si>
  <si>
    <t xml:space="preserve">Finansuoti vaikų vasaros stovyklų ir kitų neformaliojo vaikų švietimo veiklų programas  </t>
  </si>
  <si>
    <t>Vykdyti Ultragarsinių diagnostinių paslaugų teikimo efektyvumo gerinimo Kėdainių rajono savivaldybėje 2017–2022 m. programą</t>
  </si>
  <si>
    <t>Finansuoti dienos socialinės globos paslaugų teikimą Kėdainių socialinės globos namuose</t>
  </si>
  <si>
    <t>Teikti vienkartinę išmoką gimus vaikui Lietuvos Respublikos teritorijoje ir gyvenančiam Kėdainių rajono savivaldybėje</t>
  </si>
  <si>
    <t>Užtikrinti paslaugų teikimą VšĮ "Gyvenimo namai sutrikusio intelekto asmenims"</t>
  </si>
  <si>
    <t xml:space="preserve">Finansuoti Vaikų mokymo plaukti veiklos programą, dalyvaujant projekte „Mokėk plaukti ir saugiau elgtis vandenyje“ </t>
  </si>
  <si>
    <t xml:space="preserve">iš jų: dalyvauti projekte „Inovacijų keliu per buvusios LDK žemes“ </t>
  </si>
  <si>
    <t>Sudaryti saugias ugdymo sąlygas įstaigose, vykdančiose ugdymo programas</t>
  </si>
  <si>
    <t>Įrengti vėdinimo  ir kondicionavimo sistemas savivaldybės ugdymo įstaigose</t>
  </si>
  <si>
    <t>Plėtoti bendruomeninių vaikų globos namų ir vaikų dienos centrų tinklą Kėdainių rajono savivaldybėje</t>
  </si>
  <si>
    <t>Atnaujinti ir (arba) plėsti bendruomeninę fizinio aktyvumo infrastruktūrą  mieste ir rajone, pritaikant ją bendruomenės poreikiams bei laisvalaikiui</t>
  </si>
  <si>
    <t>Finansuoti Kėdainių rajono vietos veiklos grupės teritorijos vietos plėtros 2015-2023 m. strategijos įgyvendinimą</t>
  </si>
  <si>
    <t xml:space="preserve">Remontuoti Akademijos kultūros centrą </t>
  </si>
  <si>
    <t xml:space="preserve">Parengti projektus ir remontuoti koplytėles, koplytstulpius, skulptūras, kapinaites  ir kapus   </t>
  </si>
  <si>
    <t>Atlikti Paberžės klebonijos ir svirno restauravimo ir remonto darbus</t>
  </si>
  <si>
    <t>Įrengti  valstybinės reikšmės kelių nuorodas į savivaldybės kultūros paveldo objektus</t>
  </si>
  <si>
    <t>Atlikti kultūros paveldo objektų ar objektų, esančių kultūros paveldo teritorijų prieigose tvarkybos darbus seniūnijose</t>
  </si>
  <si>
    <t>Vykdyti WiFi prieigų tinklo plėtrą miesto ir rajono viešosiose erdvėse</t>
  </si>
  <si>
    <t xml:space="preserve">Rengti nekilnojamųjų kultūros paveldo objektų, vietovių  individualius apsaugos reglamentus </t>
  </si>
  <si>
    <t>Parengti Nekilnojamųjų kultūros vertybių vertinimo medžiagą ir pristatyti nekilnojamojo kultūros paveldo vertinimo tarybai</t>
  </si>
  <si>
    <t>Parengti Akademijos parko tvarkybos ir techninius projektus ir atlikti darbus</t>
  </si>
  <si>
    <t>Parengti Kėdainių rajono atsinaujinančių energijos išteklių plėtros  planą</t>
  </si>
  <si>
    <t>Rekonstruoti Akademijos  nuotekų valyklą</t>
  </si>
  <si>
    <t xml:space="preserve">Įrengti biologinius ar individualius  nuotekų valymo įrenginius </t>
  </si>
  <si>
    <t>Parengti buitinių nuotekų tinklų išplėtimo Pavermenio kaime techninį projektą ir atlikti darbus</t>
  </si>
  <si>
    <t>Įgyvendinti projektą "Kėdainių gatvių apšvietimo modernizavimas"</t>
  </si>
  <si>
    <t xml:space="preserve">Įgyvendinti projektą "Kėdainių miesto A. Kanapinsko, P. Lukšio, Mindaugo, Pavasario ir Žemaitės gatvių rekonstrukcija"     </t>
  </si>
  <si>
    <t>32.1</t>
  </si>
  <si>
    <t>32.2</t>
  </si>
  <si>
    <t>32.3</t>
  </si>
  <si>
    <t>32.4</t>
  </si>
  <si>
    <t>32.5</t>
  </si>
  <si>
    <t>32.5.1</t>
  </si>
  <si>
    <t>32.5.2</t>
  </si>
  <si>
    <t>32.5.3</t>
  </si>
  <si>
    <t>32.5.4</t>
  </si>
  <si>
    <t>32.5.5</t>
  </si>
  <si>
    <t>32.5.6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</si>
  <si>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</si>
  <si>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</si>
  <si>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</si>
  <si>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</si>
  <si>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</si>
  <si>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</si>
  <si>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</si>
  <si>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</si>
  <si>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</si>
  <si>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</si>
  <si>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35.11</t>
  </si>
  <si>
    <t>35.12</t>
  </si>
  <si>
    <t>35.13</t>
  </si>
  <si>
    <t>35.14</t>
  </si>
  <si>
    <t>42.1</t>
  </si>
  <si>
    <t>42.2</t>
  </si>
  <si>
    <t>42.3</t>
  </si>
  <si>
    <t>42.4</t>
  </si>
  <si>
    <t>42.5</t>
  </si>
  <si>
    <t>42.6</t>
  </si>
  <si>
    <t>42.7</t>
  </si>
  <si>
    <t>42.8</t>
  </si>
  <si>
    <t>42.9</t>
  </si>
  <si>
    <t>42.10</t>
  </si>
  <si>
    <t>42.11</t>
  </si>
  <si>
    <t>42.12</t>
  </si>
  <si>
    <t>56.4</t>
  </si>
  <si>
    <t>76.1</t>
  </si>
  <si>
    <t>76.2</t>
  </si>
  <si>
    <t>76.3</t>
  </si>
  <si>
    <t>76.4</t>
  </si>
  <si>
    <t>114.1</t>
  </si>
  <si>
    <t>114.2</t>
  </si>
  <si>
    <t>114.3</t>
  </si>
  <si>
    <t>13.1</t>
  </si>
  <si>
    <t>2.1</t>
  </si>
  <si>
    <t>Kėdainių krašto muziejus iš viso:</t>
  </si>
  <si>
    <t>80.1</t>
  </si>
  <si>
    <t>80.2</t>
  </si>
  <si>
    <t>82.1</t>
  </si>
  <si>
    <t>82.1.1</t>
  </si>
  <si>
    <t>82.1.4</t>
  </si>
  <si>
    <t>82.1.5</t>
  </si>
  <si>
    <t>82.1.6</t>
  </si>
  <si>
    <t>82.1.7</t>
  </si>
  <si>
    <t>82.1.8</t>
  </si>
  <si>
    <t>82.1.9</t>
  </si>
  <si>
    <t>82.1.10</t>
  </si>
  <si>
    <t>82.1.11</t>
  </si>
  <si>
    <t>82.1.12</t>
  </si>
  <si>
    <t>82.1.13</t>
  </si>
  <si>
    <t>82.1.15</t>
  </si>
  <si>
    <t>82.1.16</t>
  </si>
  <si>
    <t>82.1.17</t>
  </si>
  <si>
    <t>82.1.18</t>
  </si>
  <si>
    <t>82.1.19</t>
  </si>
  <si>
    <t>82.1.21</t>
  </si>
  <si>
    <t>82.1.22</t>
  </si>
  <si>
    <t>82.1.26</t>
  </si>
  <si>
    <t>82.1.27</t>
  </si>
  <si>
    <t>82.1.29</t>
  </si>
  <si>
    <t>95.1</t>
  </si>
  <si>
    <t>95.2</t>
  </si>
  <si>
    <t>95.3</t>
  </si>
  <si>
    <t>95.4</t>
  </si>
  <si>
    <t>95.5</t>
  </si>
  <si>
    <t>108.1</t>
  </si>
  <si>
    <t>110.1</t>
  </si>
  <si>
    <t>110.2</t>
  </si>
  <si>
    <t>114.4</t>
  </si>
  <si>
    <t>114.5</t>
  </si>
  <si>
    <t>114.6</t>
  </si>
  <si>
    <t>114.7</t>
  </si>
  <si>
    <t>114.8</t>
  </si>
  <si>
    <t>06.04.01.01.</t>
  </si>
  <si>
    <t>04.03.07.01</t>
  </si>
  <si>
    <t>Grąžinti valstybės biudžeto lėšas (dotaciją)</t>
  </si>
  <si>
    <t>Kėdainių rajono savivaldybės administracija</t>
  </si>
  <si>
    <t xml:space="preserve"> 09.05.01.01</t>
  </si>
  <si>
    <t>iš jų: užimtumo didinimo programai įgyvendinti</t>
  </si>
  <si>
    <t>01.03.02.09
04.01.02.01</t>
  </si>
  <si>
    <t>01.1</t>
  </si>
  <si>
    <t>01.2</t>
  </si>
  <si>
    <t>01.3</t>
  </si>
  <si>
    <t>05.2</t>
  </si>
  <si>
    <t>05.1</t>
  </si>
  <si>
    <t>iš jų: modernizuoti Kėdainių krašto muziejaus Daugiakultūrio centrą</t>
  </si>
  <si>
    <t xml:space="preserve">Vykdyti rezistentų paminklinio akmens ir teritorijos apimančios masinę kapavietę sutvarkymo darbus (Skongalio g.) </t>
  </si>
  <si>
    <t>08.1</t>
  </si>
  <si>
    <t>Kita dotacija įrengti vandens transporto priemonių nuleidimo vietą Angirių tvenkinyje</t>
  </si>
  <si>
    <t>01.08.01.02</t>
  </si>
  <si>
    <t>Kita dotacija neformaliajam vaikų švietimui</t>
  </si>
  <si>
    <t>Kita dotacija akredituotai vaikų dienos socialinei priežiūrai organizuoti</t>
  </si>
  <si>
    <t>Rekonstruoti Kėdainių rajono savivaldybės kultūros centro pastatą Kėdainiuose, J. Basanavičiaus g. 24</t>
  </si>
  <si>
    <t>04.1</t>
  </si>
  <si>
    <t xml:space="preserve">                                                                      Kėdainių rajono savivaldybės tarybos</t>
  </si>
  <si>
    <t>05.3</t>
  </si>
  <si>
    <t xml:space="preserve">                                                 1 priedas</t>
  </si>
  <si>
    <t xml:space="preserve">             Pajamų pavadinimas</t>
  </si>
  <si>
    <t>Suma (tūkst. Eur)</t>
  </si>
  <si>
    <t xml:space="preserve">Gyventojų pajamų mokestis </t>
  </si>
  <si>
    <t>Žemės mokestis</t>
  </si>
  <si>
    <t>Paveldimo turto mokestis</t>
  </si>
  <si>
    <t>Nekilnojamojo turto mokestis</t>
  </si>
  <si>
    <t>Mokestis už aplinkos teršimą</t>
  </si>
  <si>
    <t>Dotacija savivaldybėms iš Europos Sąjungos, kitos tarptautinės finansinės paramos ir bendrojo finansavimo lėšų einamiesiems tikslams</t>
  </si>
  <si>
    <t>Dotacija savivaldybėms iš Europos Sąjungos, kitos tarptautinės finansinės paramos ir bendrojo finansavimo lėšų turtui įsigyti</t>
  </si>
  <si>
    <t xml:space="preserve">     dalyvauti rengiant ir vykdant mobilizaciją</t>
  </si>
  <si>
    <t xml:space="preserve">     valstybinės kalbos vartojimo ir taisyklingumo kontrolei</t>
  </si>
  <si>
    <t xml:space="preserve">     socialinėms išmokoms ir kompensacijoms skaičiuoti ir mokėti </t>
  </si>
  <si>
    <t xml:space="preserve">     socialinei paramai mokiniams </t>
  </si>
  <si>
    <t xml:space="preserve">     socialinėms paslaugoms</t>
  </si>
  <si>
    <t xml:space="preserve">     jaunimo teisių apsaugai</t>
  </si>
  <si>
    <t xml:space="preserve">     būsto nuomos ar išperkamosios būsto nuomos mokesčių dalies kompensacijoms</t>
  </si>
  <si>
    <t xml:space="preserve">     užimtumo didinimo programai įgyvendinti</t>
  </si>
  <si>
    <t xml:space="preserve">     civilinės būklės aktams registruoti</t>
  </si>
  <si>
    <t xml:space="preserve">     valstybės garantuojamai pirminei teisinei pagalbai teikti</t>
  </si>
  <si>
    <t xml:space="preserve">     gyventojų registrui tvarkyti ir duomenims valstybės registrams teikti</t>
  </si>
  <si>
    <t xml:space="preserve">     civilinei saugai</t>
  </si>
  <si>
    <t xml:space="preserve">     priešgaisrinei saugai</t>
  </si>
  <si>
    <t xml:space="preserve">     gyvenamosios vietos deklaravimo duomenų ir gyvenamosios vietos neturinčių asmenų apskaitos duomenims tvarkyti</t>
  </si>
  <si>
    <t xml:space="preserve">     žemės ūkio funkcijoms atlikti</t>
  </si>
  <si>
    <t xml:space="preserve">     melioracijai</t>
  </si>
  <si>
    <t xml:space="preserve">     erdvinių duomenų rinkinio tvarkymui</t>
  </si>
  <si>
    <t xml:space="preserve">     savivaldybėms priskirtiems archyviniems dokumentams tvarkyti</t>
  </si>
  <si>
    <t xml:space="preserve">     duomenų teikimas Valstybės suteiktos pagalbos registrui</t>
  </si>
  <si>
    <t xml:space="preserve">     neveiksnių asmenų būklės peržiūrėjimui</t>
  </si>
  <si>
    <t xml:space="preserve">     savižudžių prevencijos priemonių įgyvendinimui</t>
  </si>
  <si>
    <t>Kita tikslinė dotacija, iš jos:</t>
  </si>
  <si>
    <t>14.1</t>
  </si>
  <si>
    <t xml:space="preserve">     mokyklos specialiųjų ugdymosi poreikių turintiems mokiniams</t>
  </si>
  <si>
    <t>Kitos dotacijos, iš jų:</t>
  </si>
  <si>
    <t xml:space="preserve">      valstybės biudžeto lėšos, skirtos neformaliajam vaikų švietimui </t>
  </si>
  <si>
    <t>Dividendai</t>
  </si>
  <si>
    <t xml:space="preserve">Nuomos mokestis už valstybinę žemę ir valstybinio vidaus  vandenų fondo vandens telkinius  </t>
  </si>
  <si>
    <t>Mokesčiai už medžiojamųjų gyvūnų išteklius</t>
  </si>
  <si>
    <t>Pajamos už prekes ir paslaugas</t>
  </si>
  <si>
    <t>Pajamos už ilgalaikio ir trumpalaikio materialiojo turto nuomą</t>
  </si>
  <si>
    <t xml:space="preserve">Įmokos už išlaikymą švietimo, socialinės apsaugos ir kitose  įstaigose </t>
  </si>
  <si>
    <t>Valstybės rinkliava</t>
  </si>
  <si>
    <t>Vietinė rinkliava</t>
  </si>
  <si>
    <t>Pajamos iš baudų ir konfiskacijos</t>
  </si>
  <si>
    <t>Kitos neišvardytos pajamos</t>
  </si>
  <si>
    <t>Materialiojo ir nematerialiojo turto realizavimo pajamos</t>
  </si>
  <si>
    <t>FINANSINIŲ ĮSIPAREIGOJIMŲ PRISIĖMIMO (SKOLINIMOSI) PAJAMOS</t>
  </si>
  <si>
    <t xml:space="preserve">Biudžeto apyvartos </t>
  </si>
  <si>
    <t>Prekių ir paslaugų</t>
  </si>
  <si>
    <t>Ilgalaikio ir trumpalaikio materialiojo turto nuomos</t>
  </si>
  <si>
    <t>Įmokų už išlaikymą švietimo, socialinės apsaugos ir kitose įstaigose</t>
  </si>
  <si>
    <t xml:space="preserve">Aplinkos apsaugos rėmimo programos apyvartos </t>
  </si>
  <si>
    <t>Pajamų už vietinę rinkliavą</t>
  </si>
  <si>
    <t>Pajamų už parduotą turtą</t>
  </si>
  <si>
    <t>Dotacija savivaldybėms iš Europos Sąjungos, kitos tarptautinės finansinės paramos ir bendrojo finansavimo lėšų turtui įsigyti iš jų:</t>
  </si>
  <si>
    <t>IŠ VISO (34+35)</t>
  </si>
  <si>
    <t>________________________________________________</t>
  </si>
  <si>
    <t>Įrengti medicinos punktą Langakių kaime</t>
  </si>
  <si>
    <t>32.5.7</t>
  </si>
  <si>
    <t xml:space="preserve">                                                                 Kėdainių rajono savivaldybės tarybos</t>
  </si>
  <si>
    <t>09.02.01.01
09.02.02.01 
09.05.01.01
09.05.01.02</t>
  </si>
  <si>
    <t>Kita dotacija išlaidoms, susijusioms su ugdymu, maitinimu ir pavėžėjimu socialinę riziką patiriantiems vaikams ikimokykliniame ugdyme</t>
  </si>
  <si>
    <t>Kita dotacija „Sosnovskio barsčio naikinimas Kėdainių rajone“</t>
  </si>
  <si>
    <t>82.1.33</t>
  </si>
  <si>
    <t>14.2</t>
  </si>
  <si>
    <t>14.3</t>
  </si>
  <si>
    <t>16.1</t>
  </si>
  <si>
    <t>Kėdainių „Spindulio“ mokykla</t>
  </si>
  <si>
    <t>KĖDAINIŲ RAJONO SAVIVALDYBĖS 2022 METŲ BIUDŽETO ASIGNAVIMAI  SAVARANKIŠKOMS FUNKCIJOMS ATLIKTI</t>
  </si>
  <si>
    <t xml:space="preserve">KĖDAINIŲ RAJONO SAVIVALDYBĖS 2022 METŲ BIUDŽETO ASIGNAVIMAI PROJEKTAMS FINANSUOTI EUROPOS SĄJUNGOS LĖŠOMIS </t>
  </si>
  <si>
    <t xml:space="preserve">2022 METŲ VALSTYBĖS BIUDŽETO SPECIALIOS TIKSLINĖS DOTACIJOS SAVIVALDYBĖS BIUDŽETUI KITI ASIGNAVIMAI </t>
  </si>
  <si>
    <t>Progra- mos kodas</t>
  </si>
  <si>
    <t>10 priedas</t>
  </si>
  <si>
    <t xml:space="preserve">                                                    Kėdainių rajono savivaldybės tarybos</t>
  </si>
  <si>
    <t>iš jų: Dalyvauti akcijoje "Žydų kelias"</t>
  </si>
  <si>
    <t>iš jų: vykdyti socialinės paramos 2022 m. programą</t>
  </si>
  <si>
    <t>Kėdainių rajono savivaldybės 2022 m. biudžeto asignavimai investicijų projektams ir remonto darbams finansuoti pagal objektus:</t>
  </si>
  <si>
    <t>Remontuoti Kėdainių „Ryto“ progimnaziją, kuriant šiuolaikines mokymosi erdves</t>
  </si>
  <si>
    <t>Atnaujinti Kėdainių muzikos mokyklos pastato fasadą, laiptus į rūsį</t>
  </si>
  <si>
    <t>Parengti bendrojo ir ikimokyklinio ugdymo įstaigų (skyrių) pastatų modernizavimo technines dokumentacijas ir atlikti darbus</t>
  </si>
  <si>
    <t xml:space="preserve">Modernizuoti Kėdainių šviesiosios gimnazijos pastatą Kėdainiuose, Didžioji g. 60 </t>
  </si>
  <si>
    <t>Vykdyti E. sveikatos informacinės sistemos diegimo,  palaikymo ir tobulinimo VšĮ PSPC  ir VšĮ Kėdainių ligoninėje 2022 -2026 m. programą</t>
  </si>
  <si>
    <t>Vykdyti trūkstamos sveikatos priežiūros specialistų skatinimo dirbti Kėdainių rajono savivaldybės viešosiose asmens priežiūros įstaigose 2022-2026 m. programą</t>
  </si>
  <si>
    <t>Diegti pacientų eilių valdymo sistemą Kėdainių rajono asmens sveikatos priežiūros įstaigose</t>
  </si>
  <si>
    <t>Vykdyti anestezijos paslaugų vaikams ir suaugusiesiems kokybės gerinimo Kėdainių rajono savivaldybėje 2022-2027 m. programą</t>
  </si>
  <si>
    <t>Vykdyti rentgeno paslaugų atnaujinimo, kokybės gerinimo Kėdainių rajono savivaldybėje 2022-2027 m. programą</t>
  </si>
  <si>
    <t xml:space="preserve">Vykdyti tinkamų ir saugių darbo sąlygų užtikrinimo, įrengiant vėdinimo bei kondicionavimo sistemas VšĮ PSPC 2022-2026 m. programą  </t>
  </si>
  <si>
    <t>Organizuoti  nemokamą socialiai remtinų vaikų maitinimą ikimokyklinėse įstaigose</t>
  </si>
  <si>
    <t>Kompensuoti nemokamo mokinių maitinimo kainą bendrojo lavinimo mokyklose</t>
  </si>
  <si>
    <t xml:space="preserve">Organizuoti socialinės reabilitacijos paslaugų neįgaliesiems bendruomenėje projektų konkursus </t>
  </si>
  <si>
    <t>Dengti kainų skirtumą gyventojams už šildymą</t>
  </si>
  <si>
    <t>Kompensuoti  karšto ir šalto vandens pardavimo kainą socialiai remtiniems  asmenims</t>
  </si>
  <si>
    <t>Kompensuoti kelionės išlaidas už lengvatinį keleivių vežimą</t>
  </si>
  <si>
    <t xml:space="preserve">Remontuoti savivaldybės ir socialinį būstą </t>
  </si>
  <si>
    <t xml:space="preserve">VšĮ "Veržlusis Nevėžis" krepšinio komandos Kėdainių "Nevėžis - Optibet" veiklos programai </t>
  </si>
  <si>
    <t>VšĮ „Sporto perspektyvos“ veiklos programai</t>
  </si>
  <si>
    <t>VšĮ „Sporto perspektyvos“ vaikų ir jaunimo futbolo plėtros veiklos programai</t>
  </si>
  <si>
    <t>Atnaujinti Kėdainių sporto centro bazes</t>
  </si>
  <si>
    <t xml:space="preserve">Atnaujinti Kėdainių miesto ir rajono progimnazijų ir gimnazijų stadionus /sporto aikštynus  </t>
  </si>
  <si>
    <t>Sudaryti sąlygas bendruomeninių organizacijų veiklai</t>
  </si>
  <si>
    <t>Skatinti nevyriausybinių organizacijų, bendruomeninių organizacijų plėtrą rajone</t>
  </si>
  <si>
    <t xml:space="preserve">Kita dotacija 2022 metais biudžetinių įstaigų vadovaujančių darbuotojų minimaliems pareiginės algos koeficientams padidinti, siekiant gerinti jų darbo apmokėjimo sąlygas </t>
  </si>
  <si>
    <t xml:space="preserve"> </t>
  </si>
  <si>
    <t>Kompleksiškai sutvarkyti ir pritaikyti bendruomenei ir verslui Kėdainių miesto viešąsias erdves (miesto parko, universalaus daugiafunkcio aikštyno prieigos)</t>
  </si>
  <si>
    <t>Atlikti archeologinius ir kitus tyrinėjimus kultūros paveldo teritorijose, vykdyti paveldo objektams parengtų tvarkybos projektų ekspertizę, parengti sąmatas</t>
  </si>
  <si>
    <t>Remontuoti Minareto fasadą</t>
  </si>
  <si>
    <t>Atlikti Bakainių piliakalnio su priešpiliu ir papiliu, priešpilio tvarkybos darbus</t>
  </si>
  <si>
    <t xml:space="preserve">Įgyvendinti dalyvaujamojo biudžeto iniciatyvų projektus "Justinavos pliažas" ir "Tako iki kabančio tilto per Nevėžį Surviliškyje sutvarkymas" </t>
  </si>
  <si>
    <t xml:space="preserve">Parengti projektus ir atnaujinti hidrotechninius įrenginius </t>
  </si>
  <si>
    <t>Teikti finansinę paramą verslą pradedantiems ar sunkumų patiriantiems SVV subjektams Kėdainių rajone per Savivaldybės smulkiojo verslo rėmimo fondą</t>
  </si>
  <si>
    <t xml:space="preserve">Kompensuoti UAB "Kėdbusas" nuostolingus  maršrutus </t>
  </si>
  <si>
    <t xml:space="preserve">Įgyvendinti priemones, finansuojamas iš Savivaldybės mero fondo </t>
  </si>
  <si>
    <t>Rengti specialiuosius, bendruosius, detaliuosius, geodezinius planus bei  topografines nuotraukas</t>
  </si>
  <si>
    <t xml:space="preserve">Atlikti turto inventorizavimą, teisinę registraciją, parengti  dokumentus turto pardavimui  </t>
  </si>
  <si>
    <t>Išplėsti  buitinių  nuotekų tinklus Labūnavos gyvenvietėje, Nevėžio g, ir Vainikų g.</t>
  </si>
  <si>
    <t xml:space="preserve">Suprojektuoti ir įrengti inžinerinius tinklus Kėdainių miesto vakariniame kvartale </t>
  </si>
  <si>
    <t xml:space="preserve">Plėsti vandentiekio ir nuotekų tinklus Šlapaberžės kaime </t>
  </si>
  <si>
    <t xml:space="preserve">Išplėsti vandentiekio ir nuotekų tinklus Lipliūnų k. Greisupio g. </t>
  </si>
  <si>
    <t>Parengti vandentiekio ir nuotekų tinklų įrengimo  Krakių miestelio Klaipėdos, Lauko, Neries, Miško  ir P.Lukšio gatvėse techninę dokumentaciją ir atlikti darbus</t>
  </si>
  <si>
    <t>Parengti vandentiekio ir nuotekų tinklų išplėtimo Angirių k. techninę dokumentaciją ir atlikti darbus</t>
  </si>
  <si>
    <t>Įrengti vandens gręžinį ir vandentiekio tinklus Gineitų k., Vilainių sen.</t>
  </si>
  <si>
    <t>Parengti vandentiekio ir nuotekų tinklų įrengimo  Langakių k. projektą</t>
  </si>
  <si>
    <t>Parengti nuotekų tinklų įrengimo Josvainių mstl. P.Cvirkos g. projektą</t>
  </si>
  <si>
    <t>Rekonstruoti/įrengti/modernizuoti Kėdainių miesto gatvių apšvietimą</t>
  </si>
  <si>
    <t>Finansuoti inžinerines paslaugas, darbus ir įrengimus</t>
  </si>
  <si>
    <t>Apmokėti Europos Sąjungos projektų,  kuriems taikomas apmokėjimas kompensavimo būdu, išlaidas</t>
  </si>
  <si>
    <t>Kita dotacija savivaldybės viešajai bibliotekai dokumentams 2022 metais įsigyti</t>
  </si>
  <si>
    <t xml:space="preserve"> MOKESČIAI (2+3+4+8)</t>
  </si>
  <si>
    <t>Gyventojų pajamų mokestis, mokamas už pajamas, gautas iš veiklos, kuria verčiamasi turint verslo liudijimą</t>
  </si>
  <si>
    <t>Turto mokesčiai (5+6+7)</t>
  </si>
  <si>
    <t>Prekių ir paslaugų mokesčiai (9)</t>
  </si>
  <si>
    <t>DOTACIJOS (11+12+16)</t>
  </si>
  <si>
    <t>Dotacija savivaldybėms iš Europos Sąjungos, kitos tarptautinės finansinės paramos ir bendrojo finansavimo lėšų (11.1+11.2 )</t>
  </si>
  <si>
    <t>Speciali tikslinė dotacija (13+14+15), iš jos:</t>
  </si>
  <si>
    <t>Valstybinėms (perduotoms savivaldybėms) funkcijoms atlikti, iš jos: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</si>
  <si>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</si>
  <si>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</si>
  <si>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</si>
  <si>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</si>
  <si>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</si>
  <si>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</si>
  <si>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</si>
  <si>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</si>
  <si>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</si>
  <si>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</si>
  <si>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</si>
  <si>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</si>
  <si>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</si>
  <si>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</si>
  <si>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</si>
  <si>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</si>
  <si>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 xml:space="preserve">     savivaldybei priskirtai valstybinei žemei ir kitam valstybės turtui valdyti, naudoti ir disponuoti juo patikėjimo teise</t>
  </si>
  <si>
    <t>13.18</t>
  </si>
  <si>
    <t>13.19</t>
  </si>
  <si>
    <t>13.20</t>
  </si>
  <si>
    <t>13.21</t>
  </si>
  <si>
    <t xml:space="preserve">     sveikos gyvensenos plėtojimui ir stiprinimui, visuomenės sveikatos stebėsenai</t>
  </si>
  <si>
    <t>13.22</t>
  </si>
  <si>
    <t>13.23</t>
  </si>
  <si>
    <t>13.24</t>
  </si>
  <si>
    <t xml:space="preserve">     koordinuotai teikiamų paslaugų vaikams nuo gimimo iki 18 metų (turintiems didelių ir labai didelių specialiųjų ugdymosi poreikių − iki 21 metų) ir vaiko atstovams </t>
  </si>
  <si>
    <t>Ugdymo reikmėms finansuoti</t>
  </si>
  <si>
    <t>16.2</t>
  </si>
  <si>
    <t>16.3</t>
  </si>
  <si>
    <t xml:space="preserve">     valstybės biudžeto lėšos, skirtos užtikrinti 2022 m. ugdymo, maitinimo ir pavėžėjimo lėšas socialinę riziką patiriantiems vaikams ikimokykliniame ugdyme</t>
  </si>
  <si>
    <t>16.4</t>
  </si>
  <si>
    <t xml:space="preserve">      savivaldybės viešajai bibliotekai dokumentams 2022 metais įsigyti</t>
  </si>
  <si>
    <t>16.5</t>
  </si>
  <si>
    <t xml:space="preserve">      valstybės biudžeto lėšos, skirtos 2022 m. akredituotai vaikų dienos socialinei priežiūrai organizuoti, teikti ir administruoti</t>
  </si>
  <si>
    <t>16.6</t>
  </si>
  <si>
    <t>16.7</t>
  </si>
  <si>
    <t xml:space="preserve">      valstybės biudžeto lėšos, skirtos 2022 metais biudžetinių įstaigų vadovaujančių darbuotojų minimaliems pareiginės algos koeficientams padidinti, siekiant gerinti jų darbo apmokėjimo sąlygas </t>
  </si>
  <si>
    <t>KITOS PAJAMOS (18+23+27+30+31+32)</t>
  </si>
  <si>
    <t>Turto pajamos (19+20+21+22)</t>
  </si>
  <si>
    <t>Pajamos už prekes ir paslaugas (24+25+26)</t>
  </si>
  <si>
    <t>Rinkliavos (28+29 )</t>
  </si>
  <si>
    <t xml:space="preserve">                                       IŠ VISO PAJAMŲ IR DOTACIJŲ (1+10+17)</t>
  </si>
  <si>
    <t>IŠ VISO (33+34)</t>
  </si>
  <si>
    <t>2021 METŲ NEPANAUDOTOS BIUDŽETO PAJAMOS, IŠ JŲ:</t>
  </si>
  <si>
    <t>16.8</t>
  </si>
  <si>
    <t xml:space="preserve"> Finansuoti Kėdainių rajono moterų krizių centro  veiklos programą</t>
  </si>
  <si>
    <t>Įrengti, rekonstruoti, išplėsti vandentiekio ir/ar nuotekų tinklus Kėdainių mieste (Algirdo g., Parakinės g., Rūtų g., Pievų g., Šviesos g.)</t>
  </si>
  <si>
    <t>iš jų: aprūpinti ikimokyklinio ugdymo įstaigų sveikatos kabinetus metodinėmis priemonėmis</t>
  </si>
  <si>
    <t>Kita dotacija valstybės investicijų 2022 m. programoje numatytoms kapitalo investicijoms</t>
  </si>
  <si>
    <t>6.1</t>
  </si>
  <si>
    <t>6.2</t>
  </si>
  <si>
    <t>6.3</t>
  </si>
  <si>
    <t>7</t>
  </si>
  <si>
    <t>8.1</t>
  </si>
  <si>
    <t>10.2</t>
  </si>
  <si>
    <t>12.1</t>
  </si>
  <si>
    <t>12.2</t>
  </si>
  <si>
    <t xml:space="preserve">10.01.02.02
</t>
  </si>
  <si>
    <t>08.2</t>
  </si>
  <si>
    <t>01.4</t>
  </si>
  <si>
    <t>01.5</t>
  </si>
  <si>
    <t>35.15</t>
  </si>
  <si>
    <t>35.16</t>
  </si>
  <si>
    <t>35.16.1</t>
  </si>
  <si>
    <t>35.16.2</t>
  </si>
  <si>
    <t>35.16.3</t>
  </si>
  <si>
    <t>42.13</t>
  </si>
  <si>
    <t>42.13.1</t>
  </si>
  <si>
    <t>42.13.2</t>
  </si>
  <si>
    <t>42.13.3</t>
  </si>
  <si>
    <t>42.13.4</t>
  </si>
  <si>
    <t>76.5</t>
  </si>
  <si>
    <t>76.7</t>
  </si>
  <si>
    <t>80.3</t>
  </si>
  <si>
    <t>80.3.1</t>
  </si>
  <si>
    <t>80.3.2</t>
  </si>
  <si>
    <t>80.3.3</t>
  </si>
  <si>
    <t>80.3.4</t>
  </si>
  <si>
    <t>80.3.5</t>
  </si>
  <si>
    <t>80.3.6</t>
  </si>
  <si>
    <t>80.3.7</t>
  </si>
  <si>
    <t>80.3.8</t>
  </si>
  <si>
    <t>80.3.9</t>
  </si>
  <si>
    <t>80.3.10</t>
  </si>
  <si>
    <t>80.3.11</t>
  </si>
  <si>
    <t>80.3.12</t>
  </si>
  <si>
    <t>80.3.13</t>
  </si>
  <si>
    <t>80.3.14</t>
  </si>
  <si>
    <t>80.3.15</t>
  </si>
  <si>
    <t>80.3.16</t>
  </si>
  <si>
    <t>82.1.2</t>
  </si>
  <si>
    <t>82.1.3</t>
  </si>
  <si>
    <t>82.1.14</t>
  </si>
  <si>
    <t>82.1.20</t>
  </si>
  <si>
    <t>82.1.23</t>
  </si>
  <si>
    <t>82.1.24</t>
  </si>
  <si>
    <t>82.1.25</t>
  </si>
  <si>
    <t>82.1.28</t>
  </si>
  <si>
    <t>82.1.30</t>
  </si>
  <si>
    <t>82.1.31</t>
  </si>
  <si>
    <t>82.1.32</t>
  </si>
  <si>
    <t>110.3</t>
  </si>
  <si>
    <t xml:space="preserve">Parengti vandentiekio ir nuotekų tinklų išplėtimo Mantviliškio  kaime techninį projektą </t>
  </si>
  <si>
    <t>Atlikti Savivaldybės pastato ir jo aplinkos sutvarkymo darbus</t>
  </si>
  <si>
    <t>07.06.01.01</t>
  </si>
  <si>
    <t xml:space="preserve">04.07.03.01 </t>
  </si>
  <si>
    <t>04.05.01.02</t>
  </si>
  <si>
    <t>82.1.34</t>
  </si>
  <si>
    <t>82.1.35</t>
  </si>
  <si>
    <t xml:space="preserve">       valstybės biudžeto lėšos, skirtos pedagoginių darbuotojų, išlaikomų iš savivaldybės biudžeto lėšų (išskyrus valstybės biudžeto specialias tikslines dotacijas),darbo užmokesčiui didinti</t>
  </si>
  <si>
    <t>16.9</t>
  </si>
  <si>
    <t>16.10</t>
  </si>
  <si>
    <t xml:space="preserve">      įrengti vandens transporto priemonių nuleidimo vietą Angirių tvenkinyje</t>
  </si>
  <si>
    <t>Kita dotacija pedagoginių darbuotojų, išlaikomų iš savivaldybės biudžeto lėšų (išskyrus valstybės biudžeto specialias tikslines dotacijas),darbo užmokesčiui didinti</t>
  </si>
  <si>
    <t xml:space="preserve">     valstybės investicijų 2022 m. programoje numatytoms kapitalo investicijoms</t>
  </si>
  <si>
    <t xml:space="preserve">       valstybės biudžeto lėšos, skirtos užtikrinti 2022 metais Lietuvos Respublikos piniginės socialinės paramos nepasiturintiems gyventojams įstatymo įgyvendinimą dėl padidėjusių išlaidų būsto šildymo išlaidų kompensacijoms teikti </t>
  </si>
  <si>
    <t>76.6</t>
  </si>
  <si>
    <t>76.7.1</t>
  </si>
  <si>
    <t>76.7.2</t>
  </si>
  <si>
    <t>76.7.3</t>
  </si>
  <si>
    <t>04.01.02.09</t>
  </si>
  <si>
    <t>Įrengti gamtos ir technologijų mokslų laboratorijas</t>
  </si>
  <si>
    <t>32.5.8</t>
  </si>
  <si>
    <t>32.5.9</t>
  </si>
  <si>
    <t>Kurti modernias ir šiuolaikines mokymosi erdves Kėdainių kalbų mokykloje</t>
  </si>
  <si>
    <t>Atnaujinti Kėdainių J.Paukštelio progimnazijos vidaus erdves</t>
  </si>
  <si>
    <t xml:space="preserve">Įrengti reikalingą infrastruktūrą atlikėjams prie Kėdainių miesto parko didžiosios scenos </t>
  </si>
  <si>
    <t>80.3.17</t>
  </si>
  <si>
    <t xml:space="preserve">Įgyvendinti kultūros paveldo objektų, esančių Kėdainių rajono savivaldybės teritorijoje ir kultūros paveldo statinių, esančių Kėdainių senamiesčio dalyje išsaugojimo darbų finansavimo programą </t>
  </si>
  <si>
    <t>82.1.36</t>
  </si>
  <si>
    <t xml:space="preserve">Atnaujinti daugiabučių namų kiemų kietąsias dangas </t>
  </si>
  <si>
    <t>76.7.4</t>
  </si>
  <si>
    <t>16.11</t>
  </si>
  <si>
    <t>16.12</t>
  </si>
  <si>
    <t xml:space="preserve">       valstybės biudžeto lėšos, skirtos 2022 metais asmeninei pagalbai teikti ir administruoti</t>
  </si>
  <si>
    <t xml:space="preserve">       valstybės biudžeto lėšos, skirtos socialinių paslaugų srities darbuotojų minimaliems pareiginės algos pastoviosios dalies koeficientams didinti</t>
  </si>
  <si>
    <t>Kita dotacija 2022 metais asmeninei pagalbai teikti ir administruoti</t>
  </si>
  <si>
    <t>Kita dotacija socialinių paslaugų srities darbuotojų minimaliems pareiginės algos pastoviosios dalies koeficientams didinti</t>
  </si>
  <si>
    <t>16.13</t>
  </si>
  <si>
    <t xml:space="preserve">       valstybės biudžeto lėšos, skirtos 2022 metais būstams pritaikyti neįgaliesiems</t>
  </si>
  <si>
    <t xml:space="preserve">      valstybės biudžeto lėšos, skirtos 2022 metais socialinės reabilitacijos paslaugų neįgaliesiems teikimo bendruomenėje projektams finansuoti ir administruoti</t>
  </si>
  <si>
    <t>03.6</t>
  </si>
  <si>
    <t>Kita dotaacija 2022 metais būstams pritaikyti neįgaliesiems</t>
  </si>
  <si>
    <t>03.7</t>
  </si>
  <si>
    <t>Kita dotacija 2022 metais socialinės reabilitacijos paslaugų neįgaliesiems teikimo bendruomenėje projektams finansuoti ir administruoti</t>
  </si>
  <si>
    <t xml:space="preserve">Kita dotacija užtikrinti 2022 metais Lietuvos Respublikos piniginės socialinės paramos nepasiturintiems gyventojams įstatymo įgyvendinimą dėl padidėjusių išlaidų būsto šildymo išlaidų kompensacijoms teikti </t>
  </si>
  <si>
    <t>Rekonstruoti/įrengti/modernizuoti Kėdainių rajono  gatvių apšvietimą</t>
  </si>
  <si>
    <t xml:space="preserve">          KĖDAINIŲ RAJONO SAVIVALDYBĖS 2022 METŲ BIUDŽETO PAJAMOS</t>
  </si>
  <si>
    <t>10.</t>
  </si>
  <si>
    <t xml:space="preserve">Teikti apdovanojimus aukšto meistriškumo sportininkams ir jų treneriams už sporto pasiekimus </t>
  </si>
  <si>
    <t>01-11</t>
  </si>
  <si>
    <t xml:space="preserve">Parengti Senojo Upytės kelio specialųjį planą ("Isos slėnis") </t>
  </si>
  <si>
    <t>82.1.37</t>
  </si>
  <si>
    <t>108.2</t>
  </si>
  <si>
    <t>108.2.1</t>
  </si>
  <si>
    <t>108.2.2</t>
  </si>
  <si>
    <t>56.6</t>
  </si>
  <si>
    <t>56.6.1</t>
  </si>
  <si>
    <t>56.6.2</t>
  </si>
  <si>
    <t>56.6.3</t>
  </si>
  <si>
    <t xml:space="preserve">     savivaldybės institucijos valdomiems vietinės reikšmės keliams</t>
  </si>
  <si>
    <t>16.14</t>
  </si>
  <si>
    <t>16.15</t>
  </si>
  <si>
    <t xml:space="preserve">     valstybės biudžeto lėšos, skirtos socialinių paslaugų šakos kolektyvinėje sutartyje nustatytiems įsipareigojimams igyvendinti</t>
  </si>
  <si>
    <t xml:space="preserve">      kompensuoti savivaldybės patirtas išlaidas, esant valstybės lygio ekstremaliajai situacijai, siekiant šalinti COVID-19 ligos (koronaviruso infekcijos) padarinius</t>
  </si>
  <si>
    <t xml:space="preserve"> Kita dotacija kompensuoti savivaldybės patirtas išlaidas, esant valstybės lygio ekstremaliajai situacijai, siekiant šalinti COVID-19 ligos (koronaviruso infekcijos) padarinius</t>
  </si>
  <si>
    <t>03.8</t>
  </si>
  <si>
    <t>Kita dotacija socialinių paslaugų šakos kolektyvinėje sutartyje nustatytiems įsipareigojimams igyvendinti</t>
  </si>
  <si>
    <t>07.1</t>
  </si>
  <si>
    <t>Kita dotacija  savivaldybės institucijos valdomiems vietinės reikšmės keliams</t>
  </si>
  <si>
    <t>16.16</t>
  </si>
  <si>
    <t xml:space="preserve">     plėtoti visuomenės psichologinės gerovės ir psichikos sveikatos stiprinimo paslaugas gyventojams bendruomenėse</t>
  </si>
  <si>
    <t>Plėsti dviračių takų infrastruktūrą mieste ir rajone</t>
  </si>
  <si>
    <t>14.4</t>
  </si>
  <si>
    <t>16.17</t>
  </si>
  <si>
    <t xml:space="preserve">    lėšos, skirtos 2022 metais lietuvių kalbos mokyti  suaugusius asmenys, atvykusius į Lietuvos Respubliką iš Ukrainos dėl Rusijos federacijos karinių veiksmų Ukrainoje</t>
  </si>
  <si>
    <t xml:space="preserve">     lėšos, skirtos ugdyti ir pavežėti į mokyklą ir atgal vaikus, atvykusius į Lietuvos Respubliką iš Ukrainos dėl Rusijos federacijos karinių veiksmų Ukrainoje</t>
  </si>
  <si>
    <t>16.19</t>
  </si>
  <si>
    <t>16.18</t>
  </si>
  <si>
    <t xml:space="preserve">     valstybės biudžeto lėšos, skirtos išlaidoms, susijusioms su savivaldybės mokyklų mokytojų, dirbančių pagal ikimokyklinio, priešmokyklinio, bendrojo ugdymo programas, personalo optimizavimu ir atnaujinimu</t>
  </si>
  <si>
    <t>16.20</t>
  </si>
  <si>
    <t xml:space="preserve">       „Sosnovskio barščio naikinimui Kėdainių rajone“</t>
  </si>
  <si>
    <t xml:space="preserve">     valstybės biudžeto lėšos, skirtos savivaldybės bendrojo ugdymo mokyklų tinklo stiprinimo iniciatyvoms skatinti</t>
  </si>
  <si>
    <t>Sutvarkyti namų ūkiuose susidariusias asbesto atliekas</t>
  </si>
  <si>
    <t>Kita dotacija ugdyti ir pavežėti į mokyklą ir atgal vaikus, atvykusius į Lietuvos Respubliką iš Ukrainos dėl Rusijos federacijos karinių veiksmų Ukrainoje</t>
  </si>
  <si>
    <t>01.06</t>
  </si>
  <si>
    <t>Kita dotacija 2022 metais lietuvių kalbos mokyti  suaugusius asmenys, atvykusius į Lietuvos Respubliką iš Ukrainos dėl Rusijos federacijos karinių veiksmų Ukrainoje</t>
  </si>
  <si>
    <t>Kita dotacija savivaldybės mokyklų mokytojų, dirbančių pagal ikimokyklinio, priešmokyklinio, bendrojo ugdymo programas, personalo optimizavimui ir atnaujinimui</t>
  </si>
  <si>
    <t>01.07</t>
  </si>
  <si>
    <t>01.08</t>
  </si>
  <si>
    <t>Kita dotacija savivaldybės bendrojo ugdymo mokyklų tinklo stiprinimo iniciatyvoms skatinti</t>
  </si>
  <si>
    <t>01.9</t>
  </si>
  <si>
    <t xml:space="preserve"> Kita dotacija plėtoti visuomenės psichologinės gerovės ir psichikos sveikatos stiprinimo paslaugas gyventojams bendruomenėse</t>
  </si>
  <si>
    <t>95.6</t>
  </si>
  <si>
    <t>95.7</t>
  </si>
  <si>
    <t>95.8</t>
  </si>
  <si>
    <t>95.8.1</t>
  </si>
  <si>
    <t>95.8.2</t>
  </si>
  <si>
    <t>95.8.3</t>
  </si>
  <si>
    <t>Sutvarkyti naudotas padangas, kurių turėtojų nustatyti neįmanoma arba kuris neegzistuoja</t>
  </si>
  <si>
    <t>Įsigyti tekstilės atliekų surinkimo konteinerius Kėdainių rajono savivaldybėje</t>
  </si>
  <si>
    <t>16.21</t>
  </si>
  <si>
    <t xml:space="preserve">     kompensuoti išlaidas už būsto suteikimą užsieniečiams, pasitraukusiems iš Ukrainos dėl Rusijos federacijos karinių veiksmų Ukrainoje</t>
  </si>
  <si>
    <t>03.9</t>
  </si>
  <si>
    <t>Kita dotacija už būsto suteikimą užsieniečiams, pasitraukusiems iš Ukrainos dėl Rusijos federacijos karinių veiksmų Ukrainoje, finansuoti</t>
  </si>
  <si>
    <t>16.22</t>
  </si>
  <si>
    <t>16.23</t>
  </si>
  <si>
    <t xml:space="preserve">                                                                 2022 m. gegužės 27 d. sprendimo Nr. TS-161</t>
  </si>
  <si>
    <t xml:space="preserve">                                                          2022 m. gegužės 27 d. sprendimo Nr. TS-161</t>
  </si>
  <si>
    <t xml:space="preserve">                                                                     2022 m. gegužės 27 d. sprendimo Nr. TS-161</t>
  </si>
  <si>
    <t xml:space="preserve">                                                                    2022 m. gegužės 27 d. sprendimo Nr. TS-161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</si>
</sst>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-* #,##0.00\ _L_t_-;\-* #,##0.00\ _L_t_-;_-* &quot;-&quot;??\ _L_t_-;_-@_-"/>
    <numFmt numFmtId="167" formatCode="0.0"/>
    <numFmt numFmtId="168" formatCode="#,##0.0"/>
    <numFmt numFmtId="169" formatCode="0.0;\-0.0;;"/>
    <numFmt numFmtId="170" formatCode="#,##0.0_ ;\-#,##0.0\ "/>
  </numFmts>
  <fonts count="18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B0F0"/>
      <name val="Times New Roman"/>
      <family val="1"/>
      <charset val="186"/>
    </font>
    <font>
      <sz val="10"/>
      <color rgb="FF0070C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</borders>
  <cellStyleXfs count="21">
    <xf numFmtId="0" fontId="0" fillId="0" borderId="0"/>
    <xf numFmtId="0" fontId="7" fillId="0" borderId="0"/>
    <xf numFmtId="0" fontId="1" fillId="0" borderId="0"/>
    <xf numFmtId="0" fontId="7" fillId="0" borderId="0"/>
    <xf numFmtId="0" fontId="15" fillId="0" borderId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180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167" fontId="1" fillId="0" borderId="0" xfId="0" applyNumberFormat="1" applyFont="1" applyFill="1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vertical="center" wrapText="1"/>
    </xf>
    <xf numFmtId="167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7" fontId="1" fillId="0" borderId="0" xfId="0" applyNumberFormat="1" applyFont="1" applyFill="1" applyAlignment="1">
      <alignment horizontal="right" vertical="center"/>
    </xf>
    <xf numFmtId="167" fontId="1" fillId="0" borderId="2" xfId="0" applyNumberFormat="1" applyFont="1" applyFill="1" applyBorder="1" applyAlignment="1">
      <alignment vertical="center"/>
    </xf>
    <xf numFmtId="167" fontId="1" fillId="0" borderId="2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167" fontId="9" fillId="0" borderId="0" xfId="0" applyNumberFormat="1" applyFont="1" applyFill="1"/>
    <xf numFmtId="49" fontId="2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49" fontId="1" fillId="0" borderId="3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168" fontId="1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168" fontId="6" fillId="0" borderId="1" xfId="0" applyNumberFormat="1" applyFont="1" applyFill="1" applyBorder="1" applyAlignment="1">
      <alignment horizontal="right" vertical="center"/>
    </xf>
    <xf numFmtId="167" fontId="1" fillId="0" borderId="1" xfId="0" applyNumberFormat="1" applyFont="1" applyFill="1" applyBorder="1" applyAlignment="1">
      <alignment horizontal="left" vertical="center"/>
    </xf>
    <xf numFmtId="169" fontId="1" fillId="0" borderId="0" xfId="0" applyNumberFormat="1" applyFont="1" applyFill="1"/>
    <xf numFmtId="0" fontId="3" fillId="0" borderId="0" xfId="0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3" fillId="0" borderId="0" xfId="1" applyFont="1" applyFill="1" applyAlignment="1">
      <alignment horizontal="right"/>
    </xf>
    <xf numFmtId="0" fontId="3" fillId="0" borderId="0" xfId="1" applyFont="1" applyFill="1" applyAlignment="1">
      <alignment horizontal="right" vertical="center"/>
    </xf>
    <xf numFmtId="0" fontId="1" fillId="0" borderId="0" xfId="1" applyFont="1" applyFill="1"/>
    <xf numFmtId="0" fontId="2" fillId="0" borderId="1" xfId="1" applyFont="1" applyFill="1" applyBorder="1" applyAlignment="1">
      <alignment horizontal="center" vertical="center"/>
    </xf>
    <xf numFmtId="168" fontId="2" fillId="0" borderId="1" xfId="0" applyNumberFormat="1" applyFont="1" applyFill="1" applyBorder="1"/>
    <xf numFmtId="168" fontId="1" fillId="0" borderId="0" xfId="0" applyNumberFormat="1" applyFont="1" applyFill="1"/>
    <xf numFmtId="168" fontId="2" fillId="0" borderId="1" xfId="0" applyNumberFormat="1" applyFont="1" applyFill="1" applyBorder="1" applyAlignment="1">
      <alignment vertical="center"/>
    </xf>
    <xf numFmtId="167" fontId="2" fillId="0" borderId="0" xfId="0" applyNumberFormat="1" applyFont="1" applyFill="1"/>
    <xf numFmtId="168" fontId="2" fillId="0" borderId="0" xfId="0" applyNumberFormat="1" applyFont="1" applyFill="1"/>
    <xf numFmtId="1" fontId="1" fillId="0" borderId="0" xfId="0" applyNumberFormat="1" applyFont="1" applyFill="1"/>
    <xf numFmtId="168" fontId="2" fillId="0" borderId="1" xfId="1" applyNumberFormat="1" applyFont="1" applyFill="1" applyBorder="1" applyAlignment="1">
      <alignment vertical="center"/>
    </xf>
    <xf numFmtId="168" fontId="2" fillId="0" borderId="0" xfId="1" applyNumberFormat="1" applyFont="1" applyFill="1"/>
    <xf numFmtId="0" fontId="3" fillId="0" borderId="0" xfId="0" applyFont="1" applyFill="1"/>
    <xf numFmtId="0" fontId="2" fillId="0" borderId="0" xfId="0" applyFont="1" applyFill="1" applyAlignment="1">
      <alignment horizontal="right"/>
    </xf>
    <xf numFmtId="168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168" fontId="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168" fontId="2" fillId="0" borderId="1" xfId="19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168" fontId="2" fillId="0" borderId="1" xfId="0" applyNumberFormat="1" applyFont="1" applyFill="1" applyBorder="1" applyAlignment="1">
      <alignment horizontal="right" vertical="center"/>
    </xf>
    <xf numFmtId="167" fontId="6" fillId="0" borderId="1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right" vertical="center"/>
    </xf>
    <xf numFmtId="167" fontId="2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2" fillId="0" borderId="1" xfId="19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right" vertical="center" wrapText="1"/>
    </xf>
    <xf numFmtId="168" fontId="1" fillId="0" borderId="0" xfId="0" applyNumberFormat="1" applyFont="1" applyFill="1" applyAlignment="1">
      <alignment vertical="center"/>
    </xf>
    <xf numFmtId="167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68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67" fontId="1" fillId="0" borderId="1" xfId="19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horizontal="right" vertical="center"/>
    </xf>
    <xf numFmtId="168" fontId="1" fillId="0" borderId="0" xfId="0" applyNumberFormat="1" applyFont="1" applyFill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167" fontId="1" fillId="0" borderId="2" xfId="0" applyNumberFormat="1" applyFont="1" applyFill="1" applyBorder="1" applyAlignment="1">
      <alignment horizontal="left" vertical="center" wrapText="1"/>
    </xf>
    <xf numFmtId="168" fontId="2" fillId="0" borderId="1" xfId="19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167" fontId="9" fillId="0" borderId="0" xfId="0" applyNumberFormat="1" applyFont="1" applyFill="1" applyAlignment="1">
      <alignment vertical="center"/>
    </xf>
    <xf numFmtId="0" fontId="1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167" fontId="2" fillId="0" borderId="0" xfId="0" applyNumberFormat="1" applyFont="1" applyFill="1" applyAlignment="1">
      <alignment vertical="center"/>
    </xf>
    <xf numFmtId="167" fontId="1" fillId="0" borderId="0" xfId="0" applyNumberFormat="1" applyFont="1" applyFill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169" fontId="2" fillId="0" borderId="1" xfId="0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0" borderId="5" xfId="0" applyFont="1" applyFill="1" applyBorder="1" applyAlignment="1">
      <alignment horizontal="right" vertical="center"/>
    </xf>
    <xf numFmtId="168" fontId="1" fillId="0" borderId="0" xfId="0" applyNumberFormat="1" applyFont="1" applyFill="1" applyBorder="1" applyAlignment="1">
      <alignment vertical="center"/>
    </xf>
    <xf numFmtId="168" fontId="1" fillId="0" borderId="3" xfId="0" applyNumberFormat="1" applyFont="1" applyFill="1" applyBorder="1" applyAlignment="1">
      <alignment vertical="center"/>
    </xf>
    <xf numFmtId="168" fontId="2" fillId="0" borderId="3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/>
    </xf>
    <xf numFmtId="0" fontId="1" fillId="0" borderId="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18" fontId="1" fillId="0" borderId="0" xfId="0" applyNumberFormat="1" applyFont="1" applyFill="1"/>
    <xf numFmtId="16" fontId="1" fillId="0" borderId="1" xfId="1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left" vertical="center" wrapText="1"/>
    </xf>
    <xf numFmtId="168" fontId="1" fillId="0" borderId="1" xfId="0" applyNumberFormat="1" applyFont="1" applyFill="1" applyBorder="1"/>
    <xf numFmtId="49" fontId="1" fillId="0" borderId="1" xfId="1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1" applyFont="1" applyFill="1" applyBorder="1" applyAlignment="1">
      <alignment horizontal="justify" vertical="center" wrapText="1"/>
    </xf>
    <xf numFmtId="0" fontId="2" fillId="0" borderId="1" xfId="1" applyFont="1" applyFill="1" applyBorder="1" applyAlignment="1">
      <alignment horizontal="right" vertical="center"/>
    </xf>
    <xf numFmtId="167" fontId="1" fillId="0" borderId="0" xfId="0" applyNumberFormat="1" applyFont="1" applyFill="1" applyAlignment="1">
      <alignment horizontal="right" wrapText="1"/>
    </xf>
    <xf numFmtId="167" fontId="1" fillId="0" borderId="0" xfId="0" applyNumberFormat="1" applyFont="1" applyFill="1" applyAlignment="1">
      <alignment vertical="center" wrapText="1"/>
    </xf>
    <xf numFmtId="0" fontId="1" fillId="0" borderId="0" xfId="1" applyFont="1" applyFill="1" applyAlignment="1">
      <alignment horizontal="right"/>
    </xf>
    <xf numFmtId="0" fontId="1" fillId="0" borderId="1" xfId="0" applyFont="1" applyFill="1" applyBorder="1" applyAlignment="1">
      <alignment horizontal="left" vertical="top" wrapText="1"/>
    </xf>
    <xf numFmtId="0" fontId="6" fillId="0" borderId="1" xfId="18" applyFont="1" applyFill="1" applyBorder="1" applyAlignment="1">
      <alignment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170" fontId="1" fillId="0" borderId="1" xfId="0" applyNumberFormat="1" applyFont="1" applyFill="1" applyBorder="1" applyAlignment="1">
      <alignment horizontal="center" vertical="center" wrapText="1"/>
    </xf>
    <xf numFmtId="170" fontId="1" fillId="0" borderId="1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vertical="center" wrapText="1"/>
    </xf>
    <xf numFmtId="167" fontId="6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left" vertical="center" wrapText="1"/>
    </xf>
    <xf numFmtId="167" fontId="6" fillId="0" borderId="0" xfId="0" applyNumberFormat="1" applyFont="1" applyFill="1" applyBorder="1" applyAlignment="1">
      <alignment horizontal="left" vertical="center" wrapText="1"/>
    </xf>
    <xf numFmtId="167" fontId="6" fillId="0" borderId="0" xfId="0" applyNumberFormat="1" applyFont="1" applyFill="1" applyBorder="1" applyAlignment="1">
      <alignment vertical="center" wrapText="1"/>
    </xf>
    <xf numFmtId="167" fontId="1" fillId="0" borderId="1" xfId="19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168" fontId="2" fillId="0" borderId="0" xfId="0" applyNumberFormat="1" applyFont="1"/>
    <xf numFmtId="0" fontId="1" fillId="0" borderId="0" xfId="0" applyFont="1" applyFill="1" applyBorder="1"/>
    <xf numFmtId="168" fontId="1" fillId="0" borderId="0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/>
    <xf numFmtId="167" fontId="1" fillId="0" borderId="7" xfId="0" applyNumberFormat="1" applyFont="1" applyFill="1" applyBorder="1" applyAlignment="1">
      <alignment vertical="center" wrapText="1"/>
    </xf>
    <xf numFmtId="168" fontId="2" fillId="0" borderId="0" xfId="0" applyNumberFormat="1" applyFont="1" applyFill="1" applyAlignment="1">
      <alignment vertical="center"/>
    </xf>
    <xf numFmtId="168" fontId="1" fillId="0" borderId="1" xfId="19" applyNumberFormat="1" applyFont="1" applyFill="1" applyBorder="1" applyAlignment="1">
      <alignment horizontal="right" vertical="center"/>
    </xf>
    <xf numFmtId="167" fontId="1" fillId="0" borderId="1" xfId="19" applyNumberFormat="1" applyFont="1" applyFill="1" applyBorder="1" applyAlignment="1">
      <alignment horizontal="left" vertical="center" wrapText="1"/>
    </xf>
    <xf numFmtId="0" fontId="1" fillId="0" borderId="1" xfId="18" applyFont="1" applyFill="1" applyBorder="1" applyAlignment="1">
      <alignment vertical="center" wrapText="1"/>
    </xf>
    <xf numFmtId="49" fontId="1" fillId="0" borderId="1" xfId="19" applyNumberFormat="1" applyFont="1" applyFill="1" applyBorder="1" applyAlignment="1">
      <alignment horizontal="center" vertical="center"/>
    </xf>
    <xf numFmtId="49" fontId="1" fillId="0" borderId="1" xfId="1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49" fontId="1" fillId="0" borderId="1" xfId="18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/>
    </xf>
    <xf numFmtId="168" fontId="16" fillId="0" borderId="1" xfId="0" applyNumberFormat="1" applyFont="1" applyFill="1" applyBorder="1" applyAlignment="1">
      <alignment horizontal="right" vertical="center"/>
    </xf>
    <xf numFmtId="167" fontId="1" fillId="0" borderId="0" xfId="0" applyNumberFormat="1" applyFont="1" applyFill="1" applyBorder="1" applyAlignment="1">
      <alignment horizontal="right" vertical="center"/>
    </xf>
    <xf numFmtId="168" fontId="1" fillId="0" borderId="0" xfId="19" applyNumberFormat="1" applyFont="1" applyFill="1" applyBorder="1" applyAlignment="1">
      <alignment horizontal="right" vertical="center"/>
    </xf>
    <xf numFmtId="49" fontId="17" fillId="0" borderId="1" xfId="19" applyNumberFormat="1" applyFont="1" applyFill="1" applyBorder="1" applyAlignment="1">
      <alignment horizontal="center" vertical="center" wrapText="1"/>
    </xf>
    <xf numFmtId="168" fontId="17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167" fontId="1" fillId="0" borderId="1" xfId="19" applyNumberFormat="1" applyFill="1" applyBorder="1" applyAlignment="1">
      <alignment vertical="center" wrapText="1"/>
    </xf>
    <xf numFmtId="0" fontId="3" fillId="0" borderId="0" xfId="1" applyFont="1" applyFill="1"/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</cellXfs>
  <cellStyles count="21">
    <cellStyle name="Įprastas" xfId="0" builtinId="0"/>
    <cellStyle name="Įprastas 2" xfId="1"/>
    <cellStyle name="Įprastas 3" xfId="2"/>
    <cellStyle name="Įprastas 4" xfId="3"/>
    <cellStyle name="Įprastas 5" xfId="4"/>
    <cellStyle name="Kablelis 2" xfId="5"/>
    <cellStyle name="Kablelis 2 2" xfId="6"/>
    <cellStyle name="Kablelis 2 2 2" xfId="7"/>
    <cellStyle name="Kablelis 3" xfId="8"/>
    <cellStyle name="Kablelis 4" xfId="9"/>
    <cellStyle name="Kablelis 4 2" xfId="10"/>
    <cellStyle name="Kablelis 4 3" xfId="11"/>
    <cellStyle name="Kablelis 4 3 2" xfId="12"/>
    <cellStyle name="Kablelis 5" xfId="13"/>
    <cellStyle name="Kablelis 5 2" xfId="14"/>
    <cellStyle name="Normal 2" xfId="15"/>
    <cellStyle name="Normal 3" xfId="16"/>
    <cellStyle name="Normal_biudžetas 6" xfId="17"/>
    <cellStyle name="Normal_biudžetas 6_2009 m 02 men biudzetas." xfId="18"/>
    <cellStyle name="Normal_Sheet1_2009 m 02 men biudzetas." xfId="19"/>
    <cellStyle name="Paprastas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O120"/>
  <sheetViews>
    <sheetView workbookViewId="0">
      <selection activeCell="F7" sqref="F7"/>
    </sheetView>
  </sheetViews>
  <sheetFormatPr defaultColWidth="9.109375" defaultRowHeight="13.2" x14ac:dyDescent="0.25"/>
  <cols>
    <col min="1" max="1" width="6.33203125" style="3" customWidth="1"/>
    <col min="2" max="2" width="62" style="2" customWidth="1"/>
    <col min="3" max="3" width="14.5546875" style="2" bestFit="1" customWidth="1"/>
    <col min="4" max="4" width="9.33203125" style="2" customWidth="1"/>
    <col min="5" max="5" width="11.6640625" style="2" bestFit="1" customWidth="1"/>
    <col min="6" max="6" width="15.109375" style="2" customWidth="1"/>
    <col min="7" max="16384" width="9.109375" style="2"/>
  </cols>
  <sheetData>
    <row r="1" spans="1:15" ht="15.6" x14ac:dyDescent="0.3">
      <c r="A1" s="42"/>
      <c r="B1" s="159" t="s">
        <v>447</v>
      </c>
      <c r="C1" s="159"/>
    </row>
    <row r="2" spans="1:15" ht="15.6" x14ac:dyDescent="0.3">
      <c r="A2" s="42"/>
      <c r="B2" s="160" t="s">
        <v>730</v>
      </c>
      <c r="C2" s="160"/>
    </row>
    <row r="3" spans="1:15" ht="15.6" x14ac:dyDescent="0.3">
      <c r="A3" s="161" t="s">
        <v>387</v>
      </c>
      <c r="B3" s="161"/>
      <c r="C3" s="161"/>
    </row>
    <row r="4" spans="1:15" ht="15.6" x14ac:dyDescent="0.3">
      <c r="A4" s="44"/>
      <c r="B4" s="43"/>
      <c r="C4" s="43"/>
    </row>
    <row r="5" spans="1:15" x14ac:dyDescent="0.25">
      <c r="A5" s="42"/>
      <c r="B5" s="106" t="s">
        <v>670</v>
      </c>
      <c r="C5" s="45"/>
    </row>
    <row r="6" spans="1:15" x14ac:dyDescent="0.25">
      <c r="A6" s="42"/>
      <c r="B6" s="45"/>
      <c r="C6" s="45"/>
    </row>
    <row r="7" spans="1:15" s="3" customFormat="1" x14ac:dyDescent="0.25">
      <c r="A7" s="107" t="s">
        <v>0</v>
      </c>
      <c r="B7" s="46" t="s">
        <v>388</v>
      </c>
      <c r="C7" s="46" t="s">
        <v>389</v>
      </c>
    </row>
    <row r="8" spans="1:15" ht="12.6" customHeight="1" x14ac:dyDescent="0.25">
      <c r="A8" s="105">
        <v>1</v>
      </c>
      <c r="B8" s="107" t="s">
        <v>515</v>
      </c>
      <c r="C8" s="47">
        <f>+C9+C10+C11+C15</f>
        <v>36101</v>
      </c>
      <c r="D8" s="4"/>
      <c r="E8" s="4"/>
      <c r="G8" s="48"/>
    </row>
    <row r="9" spans="1:15" ht="12.6" customHeight="1" x14ac:dyDescent="0.25">
      <c r="A9" s="105">
        <v>2</v>
      </c>
      <c r="B9" s="107" t="s">
        <v>390</v>
      </c>
      <c r="C9" s="49">
        <v>33430</v>
      </c>
      <c r="D9" s="4"/>
      <c r="E9" s="48"/>
      <c r="F9" s="50"/>
      <c r="G9" s="48"/>
    </row>
    <row r="10" spans="1:15" ht="11.25" customHeight="1" x14ac:dyDescent="0.25">
      <c r="A10" s="105">
        <v>3</v>
      </c>
      <c r="B10" s="108" t="s">
        <v>516</v>
      </c>
      <c r="C10" s="49">
        <v>61</v>
      </c>
      <c r="D10" s="4"/>
      <c r="E10" s="48"/>
      <c r="F10" s="50"/>
    </row>
    <row r="11" spans="1:15" ht="12.6" customHeight="1" x14ac:dyDescent="0.25">
      <c r="A11" s="105">
        <v>4</v>
      </c>
      <c r="B11" s="107" t="s">
        <v>517</v>
      </c>
      <c r="C11" s="49">
        <f>+C12+C14+C13</f>
        <v>2415</v>
      </c>
      <c r="F11" s="50"/>
      <c r="G11" s="48"/>
    </row>
    <row r="12" spans="1:15" ht="12.6" customHeight="1" x14ac:dyDescent="0.25">
      <c r="A12" s="105">
        <v>5</v>
      </c>
      <c r="B12" s="109" t="s">
        <v>391</v>
      </c>
      <c r="C12" s="36">
        <v>900</v>
      </c>
      <c r="D12" s="4"/>
      <c r="F12" s="51"/>
      <c r="G12" s="48"/>
    </row>
    <row r="13" spans="1:15" ht="12.6" customHeight="1" x14ac:dyDescent="0.25">
      <c r="A13" s="105">
        <v>6</v>
      </c>
      <c r="B13" s="109" t="s">
        <v>392</v>
      </c>
      <c r="C13" s="36">
        <v>15</v>
      </c>
      <c r="D13" s="4"/>
      <c r="F13" s="51"/>
    </row>
    <row r="14" spans="1:15" ht="12.6" customHeight="1" x14ac:dyDescent="0.25">
      <c r="A14" s="105">
        <v>7</v>
      </c>
      <c r="B14" s="109" t="s">
        <v>393</v>
      </c>
      <c r="C14" s="36">
        <v>1500</v>
      </c>
      <c r="D14" s="4"/>
      <c r="F14" s="48"/>
      <c r="O14" s="4"/>
    </row>
    <row r="15" spans="1:15" ht="12.6" customHeight="1" x14ac:dyDescent="0.25">
      <c r="A15" s="105">
        <v>8</v>
      </c>
      <c r="B15" s="107" t="s">
        <v>518</v>
      </c>
      <c r="C15" s="47">
        <f>+C16</f>
        <v>195</v>
      </c>
      <c r="D15" s="4"/>
    </row>
    <row r="16" spans="1:15" ht="12.6" customHeight="1" x14ac:dyDescent="0.25">
      <c r="A16" s="105">
        <v>9</v>
      </c>
      <c r="B16" s="109" t="s">
        <v>394</v>
      </c>
      <c r="C16" s="36">
        <v>195</v>
      </c>
      <c r="D16" s="4"/>
      <c r="E16" s="110"/>
    </row>
    <row r="17" spans="1:7" x14ac:dyDescent="0.25">
      <c r="A17" s="105">
        <v>10</v>
      </c>
      <c r="B17" s="107" t="s">
        <v>519</v>
      </c>
      <c r="C17" s="47">
        <f>+C21+C50+C18</f>
        <v>30002.400000000001</v>
      </c>
      <c r="D17" s="4"/>
    </row>
    <row r="18" spans="1:7" ht="26.4" x14ac:dyDescent="0.25">
      <c r="A18" s="105">
        <v>11</v>
      </c>
      <c r="B18" s="108" t="s">
        <v>520</v>
      </c>
      <c r="C18" s="47">
        <f>+C19+C20</f>
        <v>968.8</v>
      </c>
      <c r="D18" s="4"/>
    </row>
    <row r="19" spans="1:7" ht="26.4" x14ac:dyDescent="0.25">
      <c r="A19" s="105" t="s">
        <v>34</v>
      </c>
      <c r="B19" s="104" t="s">
        <v>395</v>
      </c>
      <c r="C19" s="36">
        <f>924.8+12+20.2</f>
        <v>957</v>
      </c>
      <c r="D19" s="4"/>
      <c r="E19" s="110"/>
    </row>
    <row r="20" spans="1:7" ht="26.4" x14ac:dyDescent="0.25">
      <c r="A20" s="105" t="s">
        <v>35</v>
      </c>
      <c r="B20" s="104" t="s">
        <v>396</v>
      </c>
      <c r="C20" s="36">
        <f>287.7+1.3-136.2-141</f>
        <v>11.800000000000011</v>
      </c>
      <c r="D20" s="4"/>
      <c r="E20" s="110"/>
    </row>
    <row r="21" spans="1:7" ht="12.6" customHeight="1" x14ac:dyDescent="0.25">
      <c r="A21" s="105">
        <v>12</v>
      </c>
      <c r="B21" s="107" t="s">
        <v>521</v>
      </c>
      <c r="C21" s="49">
        <f>+C22+C47+C48</f>
        <v>23252.7</v>
      </c>
      <c r="D21" s="4"/>
    </row>
    <row r="22" spans="1:7" ht="12.6" customHeight="1" x14ac:dyDescent="0.25">
      <c r="A22" s="105">
        <v>13</v>
      </c>
      <c r="B22" s="109" t="s">
        <v>522</v>
      </c>
      <c r="C22" s="36">
        <f>SUM(C23:C46)</f>
        <v>5553.0000000000009</v>
      </c>
      <c r="D22" s="4"/>
      <c r="E22" s="110"/>
      <c r="F22" s="52"/>
    </row>
    <row r="23" spans="1:7" ht="12.6" customHeight="1" x14ac:dyDescent="0.25">
      <c r="A23" s="111" t="s">
        <v>324</v>
      </c>
      <c r="B23" s="109" t="s">
        <v>397</v>
      </c>
      <c r="C23" s="36">
        <v>30.1</v>
      </c>
      <c r="D23" s="4"/>
      <c r="E23" s="110"/>
      <c r="G23" s="4"/>
    </row>
    <row r="24" spans="1:7" ht="12.6" customHeight="1" x14ac:dyDescent="0.25">
      <c r="A24" s="105" t="s">
        <v>523</v>
      </c>
      <c r="B24" s="109" t="s">
        <v>398</v>
      </c>
      <c r="C24" s="36">
        <v>8.5</v>
      </c>
      <c r="D24" s="4"/>
      <c r="E24" s="110"/>
      <c r="G24" s="4"/>
    </row>
    <row r="25" spans="1:7" ht="12.6" customHeight="1" x14ac:dyDescent="0.25">
      <c r="A25" s="111" t="s">
        <v>524</v>
      </c>
      <c r="B25" s="109" t="s">
        <v>399</v>
      </c>
      <c r="C25" s="36">
        <v>374.4</v>
      </c>
      <c r="D25" s="4"/>
      <c r="E25" s="110"/>
      <c r="F25" s="48"/>
      <c r="G25" s="4"/>
    </row>
    <row r="26" spans="1:7" ht="12.6" customHeight="1" x14ac:dyDescent="0.25">
      <c r="A26" s="105" t="s">
        <v>525</v>
      </c>
      <c r="B26" s="109" t="s">
        <v>400</v>
      </c>
      <c r="C26" s="36">
        <v>797.6</v>
      </c>
      <c r="D26" s="4"/>
      <c r="E26" s="52"/>
    </row>
    <row r="27" spans="1:7" ht="12.6" customHeight="1" x14ac:dyDescent="0.25">
      <c r="A27" s="111" t="s">
        <v>526</v>
      </c>
      <c r="B27" s="109" t="s">
        <v>401</v>
      </c>
      <c r="C27" s="36">
        <f>882.7+828.8</f>
        <v>1711.5</v>
      </c>
      <c r="E27" s="4"/>
    </row>
    <row r="28" spans="1:7" x14ac:dyDescent="0.25">
      <c r="A28" s="105" t="s">
        <v>527</v>
      </c>
      <c r="B28" s="109" t="s">
        <v>402</v>
      </c>
      <c r="C28" s="36">
        <v>19.8</v>
      </c>
      <c r="D28" s="4"/>
    </row>
    <row r="29" spans="1:7" ht="26.4" x14ac:dyDescent="0.25">
      <c r="A29" s="111" t="s">
        <v>528</v>
      </c>
      <c r="B29" s="104" t="s">
        <v>403</v>
      </c>
      <c r="C29" s="36">
        <v>8.9</v>
      </c>
      <c r="D29" s="4"/>
      <c r="E29" s="52"/>
    </row>
    <row r="30" spans="1:7" ht="12.6" customHeight="1" x14ac:dyDescent="0.25">
      <c r="A30" s="105" t="s">
        <v>529</v>
      </c>
      <c r="B30" s="112" t="s">
        <v>404</v>
      </c>
      <c r="C30" s="36">
        <v>139.1</v>
      </c>
      <c r="D30" s="4"/>
    </row>
    <row r="31" spans="1:7" ht="12.6" customHeight="1" x14ac:dyDescent="0.25">
      <c r="A31" s="111" t="s">
        <v>530</v>
      </c>
      <c r="B31" s="112" t="s">
        <v>405</v>
      </c>
      <c r="C31" s="36">
        <v>33.700000000000003</v>
      </c>
      <c r="D31" s="4"/>
    </row>
    <row r="32" spans="1:7" ht="12.6" customHeight="1" x14ac:dyDescent="0.25">
      <c r="A32" s="105" t="s">
        <v>531</v>
      </c>
      <c r="B32" s="112" t="s">
        <v>406</v>
      </c>
      <c r="C32" s="36">
        <v>14.5</v>
      </c>
      <c r="D32" s="4"/>
    </row>
    <row r="33" spans="1:7" ht="12.6" customHeight="1" x14ac:dyDescent="0.25">
      <c r="A33" s="111" t="s">
        <v>532</v>
      </c>
      <c r="B33" s="112" t="s">
        <v>407</v>
      </c>
      <c r="C33" s="36">
        <v>0.8</v>
      </c>
      <c r="D33" s="4"/>
    </row>
    <row r="34" spans="1:7" ht="12.6" customHeight="1" x14ac:dyDescent="0.25">
      <c r="A34" s="105" t="s">
        <v>533</v>
      </c>
      <c r="B34" s="112" t="s">
        <v>408</v>
      </c>
      <c r="C34" s="36">
        <v>46.5</v>
      </c>
      <c r="D34" s="4"/>
    </row>
    <row r="35" spans="1:7" x14ac:dyDescent="0.25">
      <c r="A35" s="111" t="s">
        <v>534</v>
      </c>
      <c r="B35" s="112" t="s">
        <v>409</v>
      </c>
      <c r="C35" s="36">
        <v>1176.9000000000001</v>
      </c>
      <c r="D35" s="4"/>
    </row>
    <row r="36" spans="1:7" ht="12.6" customHeight="1" x14ac:dyDescent="0.25">
      <c r="A36" s="105" t="s">
        <v>535</v>
      </c>
      <c r="B36" s="112" t="s">
        <v>410</v>
      </c>
      <c r="C36" s="36">
        <v>6.8</v>
      </c>
      <c r="D36" s="4"/>
    </row>
    <row r="37" spans="1:7" ht="12.6" customHeight="1" x14ac:dyDescent="0.25">
      <c r="A37" s="111" t="s">
        <v>536</v>
      </c>
      <c r="B37" s="112" t="s">
        <v>411</v>
      </c>
      <c r="C37" s="36">
        <v>190.7</v>
      </c>
      <c r="D37" s="4"/>
    </row>
    <row r="38" spans="1:7" ht="12.6" customHeight="1" x14ac:dyDescent="0.25">
      <c r="A38" s="105" t="s">
        <v>537</v>
      </c>
      <c r="B38" s="109" t="s">
        <v>412</v>
      </c>
      <c r="C38" s="36">
        <v>358</v>
      </c>
      <c r="D38" s="4"/>
    </row>
    <row r="39" spans="1:7" ht="26.4" x14ac:dyDescent="0.25">
      <c r="A39" s="111" t="s">
        <v>538</v>
      </c>
      <c r="B39" s="104" t="s">
        <v>539</v>
      </c>
      <c r="C39" s="36">
        <v>0.3</v>
      </c>
      <c r="D39" s="4"/>
    </row>
    <row r="40" spans="1:7" ht="12.6" customHeight="1" x14ac:dyDescent="0.25">
      <c r="A40" s="105" t="s">
        <v>540</v>
      </c>
      <c r="B40" s="109" t="s">
        <v>413</v>
      </c>
      <c r="C40" s="36">
        <v>22.1</v>
      </c>
      <c r="D40" s="4"/>
    </row>
    <row r="41" spans="1:7" ht="12.6" customHeight="1" x14ac:dyDescent="0.25">
      <c r="A41" s="111" t="s">
        <v>541</v>
      </c>
      <c r="B41" s="109" t="s">
        <v>414</v>
      </c>
      <c r="C41" s="36">
        <v>46.7</v>
      </c>
      <c r="D41" s="4"/>
    </row>
    <row r="42" spans="1:7" ht="12.6" customHeight="1" x14ac:dyDescent="0.25">
      <c r="A42" s="105" t="s">
        <v>542</v>
      </c>
      <c r="B42" s="104" t="s">
        <v>415</v>
      </c>
      <c r="C42" s="36">
        <v>1.3</v>
      </c>
      <c r="D42" s="4"/>
    </row>
    <row r="43" spans="1:7" ht="26.4" x14ac:dyDescent="0.25">
      <c r="A43" s="111" t="s">
        <v>543</v>
      </c>
      <c r="B43" s="104" t="s">
        <v>544</v>
      </c>
      <c r="C43" s="36">
        <v>452.5</v>
      </c>
      <c r="D43" s="4"/>
    </row>
    <row r="44" spans="1:7" ht="15.75" customHeight="1" x14ac:dyDescent="0.25">
      <c r="A44" s="105" t="s">
        <v>545</v>
      </c>
      <c r="B44" s="104" t="s">
        <v>416</v>
      </c>
      <c r="C44" s="36">
        <v>2.5</v>
      </c>
      <c r="D44" s="4"/>
    </row>
    <row r="45" spans="1:7" x14ac:dyDescent="0.25">
      <c r="A45" s="111" t="s">
        <v>546</v>
      </c>
      <c r="B45" s="104" t="s">
        <v>417</v>
      </c>
      <c r="C45" s="36">
        <v>91</v>
      </c>
      <c r="D45" s="4"/>
    </row>
    <row r="46" spans="1:7" ht="39.6" x14ac:dyDescent="0.25">
      <c r="A46" s="105" t="s">
        <v>547</v>
      </c>
      <c r="B46" s="104" t="s">
        <v>548</v>
      </c>
      <c r="C46" s="36">
        <v>18.8</v>
      </c>
      <c r="D46" s="4"/>
    </row>
    <row r="47" spans="1:7" x14ac:dyDescent="0.25">
      <c r="A47" s="105">
        <v>14</v>
      </c>
      <c r="B47" s="109" t="s">
        <v>549</v>
      </c>
      <c r="C47" s="36">
        <v>17141</v>
      </c>
      <c r="D47" s="4"/>
      <c r="E47" s="110"/>
      <c r="F47" s="52"/>
      <c r="G47" s="4"/>
    </row>
    <row r="48" spans="1:7" ht="12.6" customHeight="1" x14ac:dyDescent="0.25">
      <c r="A48" s="105">
        <v>15</v>
      </c>
      <c r="B48" s="109" t="s">
        <v>418</v>
      </c>
      <c r="C48" s="113">
        <f>+C49</f>
        <v>558.70000000000005</v>
      </c>
      <c r="D48" s="4"/>
      <c r="E48" s="110"/>
      <c r="F48" s="52"/>
      <c r="G48" s="4"/>
    </row>
    <row r="49" spans="1:7" ht="12.6" customHeight="1" x14ac:dyDescent="0.25">
      <c r="A49" s="114" t="s">
        <v>195</v>
      </c>
      <c r="B49" s="104" t="s">
        <v>420</v>
      </c>
      <c r="C49" s="36">
        <v>558.70000000000005</v>
      </c>
      <c r="D49" s="4"/>
      <c r="F49" s="52"/>
      <c r="G49" s="4"/>
    </row>
    <row r="50" spans="1:7" ht="12.6" customHeight="1" x14ac:dyDescent="0.25">
      <c r="A50" s="105">
        <v>16</v>
      </c>
      <c r="B50" s="107" t="s">
        <v>421</v>
      </c>
      <c r="C50" s="49">
        <f>SUM(C51:C73)</f>
        <v>5780.9000000000005</v>
      </c>
      <c r="D50" s="141"/>
      <c r="E50" s="141"/>
    </row>
    <row r="51" spans="1:7" x14ac:dyDescent="0.25">
      <c r="A51" s="105" t="s">
        <v>454</v>
      </c>
      <c r="B51" s="104" t="s">
        <v>422</v>
      </c>
      <c r="C51" s="101">
        <v>270.89999999999998</v>
      </c>
      <c r="D51" s="87"/>
      <c r="E51" s="110"/>
    </row>
    <row r="52" spans="1:7" ht="39.6" x14ac:dyDescent="0.25">
      <c r="A52" s="105" t="s">
        <v>550</v>
      </c>
      <c r="B52" s="104" t="s">
        <v>632</v>
      </c>
      <c r="C52" s="36">
        <v>209</v>
      </c>
      <c r="D52" s="87"/>
      <c r="E52" s="110"/>
    </row>
    <row r="53" spans="1:7" ht="34.200000000000003" customHeight="1" x14ac:dyDescent="0.25">
      <c r="A53" s="105" t="s">
        <v>551</v>
      </c>
      <c r="B53" s="104" t="s">
        <v>552</v>
      </c>
      <c r="C53" s="36">
        <v>3.2</v>
      </c>
      <c r="D53" s="87"/>
      <c r="E53" s="110"/>
    </row>
    <row r="54" spans="1:7" x14ac:dyDescent="0.25">
      <c r="A54" s="105" t="s">
        <v>553</v>
      </c>
      <c r="B54" s="104" t="s">
        <v>554</v>
      </c>
      <c r="C54" s="36">
        <v>55.5</v>
      </c>
      <c r="D54" s="87"/>
      <c r="E54" s="110"/>
    </row>
    <row r="55" spans="1:7" ht="26.4" x14ac:dyDescent="0.25">
      <c r="A55" s="105" t="s">
        <v>555</v>
      </c>
      <c r="B55" s="104" t="s">
        <v>556</v>
      </c>
      <c r="C55" s="101">
        <v>134.6</v>
      </c>
      <c r="D55" s="115"/>
      <c r="E55" s="110"/>
    </row>
    <row r="56" spans="1:7" ht="52.8" x14ac:dyDescent="0.25">
      <c r="A56" s="105" t="s">
        <v>557</v>
      </c>
      <c r="B56" s="104" t="s">
        <v>638</v>
      </c>
      <c r="C56" s="101">
        <v>371.2</v>
      </c>
      <c r="D56" s="87"/>
      <c r="E56" s="110"/>
    </row>
    <row r="57" spans="1:7" ht="39.6" x14ac:dyDescent="0.25">
      <c r="A57" s="105" t="s">
        <v>558</v>
      </c>
      <c r="B57" s="104" t="s">
        <v>559</v>
      </c>
      <c r="C57" s="36">
        <v>62</v>
      </c>
      <c r="D57" s="87"/>
      <c r="E57" s="110"/>
      <c r="G57" s="97"/>
    </row>
    <row r="58" spans="1:7" ht="26.4" x14ac:dyDescent="0.25">
      <c r="A58" s="105" t="s">
        <v>567</v>
      </c>
      <c r="B58" s="104" t="s">
        <v>657</v>
      </c>
      <c r="C58" s="101">
        <v>150.4</v>
      </c>
      <c r="D58" s="87"/>
      <c r="E58" s="110"/>
      <c r="G58" s="97"/>
    </row>
    <row r="59" spans="1:7" ht="26.4" x14ac:dyDescent="0.25">
      <c r="A59" s="105" t="s">
        <v>633</v>
      </c>
      <c r="B59" s="104" t="s">
        <v>658</v>
      </c>
      <c r="C59" s="101">
        <v>135.4</v>
      </c>
      <c r="D59" s="87"/>
      <c r="E59" s="110"/>
      <c r="G59" s="97"/>
    </row>
    <row r="60" spans="1:7" ht="26.4" x14ac:dyDescent="0.25">
      <c r="A60" s="105" t="s">
        <v>634</v>
      </c>
      <c r="B60" s="104" t="s">
        <v>662</v>
      </c>
      <c r="C60" s="101">
        <f>24.8</f>
        <v>24.8</v>
      </c>
      <c r="D60" s="87"/>
      <c r="E60" s="110"/>
      <c r="G60" s="97"/>
    </row>
    <row r="61" spans="1:7" ht="39.6" x14ac:dyDescent="0.25">
      <c r="A61" s="105" t="s">
        <v>655</v>
      </c>
      <c r="B61" s="104" t="s">
        <v>663</v>
      </c>
      <c r="C61" s="101">
        <v>84.1</v>
      </c>
      <c r="D61" s="87"/>
      <c r="E61" s="110"/>
      <c r="G61" s="97"/>
    </row>
    <row r="62" spans="1:7" x14ac:dyDescent="0.25">
      <c r="A62" s="105" t="s">
        <v>656</v>
      </c>
      <c r="B62" s="104" t="s">
        <v>704</v>
      </c>
      <c r="C62" s="101">
        <v>8.1999999999999993</v>
      </c>
      <c r="D62" s="87"/>
      <c r="E62" s="110"/>
      <c r="G62" s="97"/>
    </row>
    <row r="63" spans="1:7" x14ac:dyDescent="0.25">
      <c r="A63" s="105" t="s">
        <v>661</v>
      </c>
      <c r="B63" s="104" t="s">
        <v>635</v>
      </c>
      <c r="C63" s="101">
        <v>25</v>
      </c>
      <c r="D63" s="87"/>
      <c r="E63" s="110"/>
      <c r="G63" s="97"/>
    </row>
    <row r="64" spans="1:7" ht="26.4" x14ac:dyDescent="0.25">
      <c r="A64" s="105" t="s">
        <v>684</v>
      </c>
      <c r="B64" s="104" t="s">
        <v>637</v>
      </c>
      <c r="C64" s="101">
        <f>550+474</f>
        <v>1024</v>
      </c>
      <c r="D64" s="87"/>
      <c r="E64" s="110"/>
      <c r="G64" s="97"/>
    </row>
    <row r="65" spans="1:7" x14ac:dyDescent="0.25">
      <c r="A65" s="105" t="s">
        <v>685</v>
      </c>
      <c r="B65" s="104" t="s">
        <v>683</v>
      </c>
      <c r="C65" s="101">
        <v>3008.3</v>
      </c>
      <c r="D65" s="87"/>
      <c r="E65" s="110"/>
      <c r="G65" s="97"/>
    </row>
    <row r="66" spans="1:7" ht="26.4" x14ac:dyDescent="0.25">
      <c r="A66" s="105" t="s">
        <v>693</v>
      </c>
      <c r="B66" s="104" t="s">
        <v>686</v>
      </c>
      <c r="C66" s="101">
        <v>21.3</v>
      </c>
      <c r="D66" s="87"/>
      <c r="E66" s="110"/>
      <c r="G66" s="97"/>
    </row>
    <row r="67" spans="1:7" ht="39.6" x14ac:dyDescent="0.25">
      <c r="A67" s="105" t="s">
        <v>697</v>
      </c>
      <c r="B67" s="104" t="s">
        <v>687</v>
      </c>
      <c r="C67" s="101">
        <v>22.3</v>
      </c>
      <c r="D67" s="87"/>
      <c r="E67" s="110"/>
      <c r="G67" s="97"/>
    </row>
    <row r="68" spans="1:7" ht="26.4" x14ac:dyDescent="0.25">
      <c r="A68" s="105" t="s">
        <v>701</v>
      </c>
      <c r="B68" s="104" t="s">
        <v>694</v>
      </c>
      <c r="C68" s="101">
        <v>50</v>
      </c>
      <c r="D68" s="87"/>
      <c r="E68" s="110"/>
      <c r="G68" s="97"/>
    </row>
    <row r="69" spans="1:7" ht="39.6" x14ac:dyDescent="0.25">
      <c r="A69" s="105" t="s">
        <v>700</v>
      </c>
      <c r="B69" s="104" t="s">
        <v>699</v>
      </c>
      <c r="C69" s="101">
        <f>11.8+17.4</f>
        <v>29.2</v>
      </c>
      <c r="D69" s="87"/>
      <c r="E69" s="110"/>
      <c r="G69" s="97"/>
    </row>
    <row r="70" spans="1:7" ht="39.6" x14ac:dyDescent="0.25">
      <c r="A70" s="105" t="s">
        <v>703</v>
      </c>
      <c r="B70" s="104" t="s">
        <v>698</v>
      </c>
      <c r="C70" s="101">
        <v>7</v>
      </c>
      <c r="D70" s="87"/>
      <c r="E70" s="110"/>
      <c r="G70" s="97"/>
    </row>
    <row r="71" spans="1:7" ht="39.6" x14ac:dyDescent="0.25">
      <c r="A71" s="105" t="s">
        <v>724</v>
      </c>
      <c r="B71" s="104" t="s">
        <v>702</v>
      </c>
      <c r="C71" s="101">
        <v>43</v>
      </c>
      <c r="D71" s="87"/>
      <c r="E71" s="110"/>
      <c r="G71" s="97"/>
    </row>
    <row r="72" spans="1:7" ht="26.4" x14ac:dyDescent="0.25">
      <c r="A72" s="105" t="s">
        <v>728</v>
      </c>
      <c r="B72" s="104" t="s">
        <v>705</v>
      </c>
      <c r="C72" s="101">
        <v>37.799999999999997</v>
      </c>
      <c r="D72" s="87"/>
      <c r="E72" s="110"/>
      <c r="G72" s="97"/>
    </row>
    <row r="73" spans="1:7" ht="26.4" x14ac:dyDescent="0.25">
      <c r="A73" s="105" t="s">
        <v>729</v>
      </c>
      <c r="B73" s="104" t="s">
        <v>725</v>
      </c>
      <c r="C73" s="101">
        <v>3.7</v>
      </c>
      <c r="D73" s="87"/>
      <c r="E73" s="110"/>
      <c r="G73" s="97"/>
    </row>
    <row r="74" spans="1:7" x14ac:dyDescent="0.25">
      <c r="A74" s="105">
        <v>17</v>
      </c>
      <c r="B74" s="107" t="s">
        <v>560</v>
      </c>
      <c r="C74" s="102">
        <f>C75+C80+C84+C87+C88+C89</f>
        <v>4068.4</v>
      </c>
      <c r="D74" s="4"/>
      <c r="G74" s="48"/>
    </row>
    <row r="75" spans="1:7" x14ac:dyDescent="0.25">
      <c r="A75" s="105">
        <v>18</v>
      </c>
      <c r="B75" s="107" t="s">
        <v>561</v>
      </c>
      <c r="C75" s="102">
        <f>C77+C78+C79+C76</f>
        <v>600</v>
      </c>
      <c r="D75" s="4"/>
    </row>
    <row r="76" spans="1:7" x14ac:dyDescent="0.25">
      <c r="A76" s="105">
        <v>19</v>
      </c>
      <c r="B76" s="116" t="s">
        <v>423</v>
      </c>
      <c r="C76" s="36">
        <v>30</v>
      </c>
      <c r="D76" s="4"/>
    </row>
    <row r="77" spans="1:7" ht="26.4" x14ac:dyDescent="0.25">
      <c r="A77" s="105">
        <v>20</v>
      </c>
      <c r="B77" s="104" t="s">
        <v>424</v>
      </c>
      <c r="C77" s="101">
        <v>500</v>
      </c>
      <c r="D77" s="4"/>
    </row>
    <row r="78" spans="1:7" x14ac:dyDescent="0.25">
      <c r="A78" s="105">
        <v>21</v>
      </c>
      <c r="B78" s="109" t="s">
        <v>425</v>
      </c>
      <c r="C78" s="36">
        <v>35</v>
      </c>
      <c r="D78" s="4"/>
      <c r="E78" s="110"/>
    </row>
    <row r="79" spans="1:7" x14ac:dyDescent="0.25">
      <c r="A79" s="105">
        <v>22</v>
      </c>
      <c r="B79" s="117" t="s">
        <v>207</v>
      </c>
      <c r="C79" s="36">
        <v>35</v>
      </c>
      <c r="D79" s="4"/>
      <c r="E79" s="110"/>
    </row>
    <row r="80" spans="1:7" x14ac:dyDescent="0.25">
      <c r="A80" s="105">
        <v>23</v>
      </c>
      <c r="B80" s="107" t="s">
        <v>562</v>
      </c>
      <c r="C80" s="49">
        <f>+C82+C81+C83</f>
        <v>1690.4</v>
      </c>
      <c r="D80" s="4"/>
    </row>
    <row r="81" spans="1:7" x14ac:dyDescent="0.25">
      <c r="A81" s="105">
        <v>24</v>
      </c>
      <c r="B81" s="109" t="s">
        <v>426</v>
      </c>
      <c r="C81" s="36">
        <v>185.6</v>
      </c>
      <c r="D81" s="4"/>
      <c r="E81" s="110"/>
      <c r="F81" s="52"/>
    </row>
    <row r="82" spans="1:7" x14ac:dyDescent="0.25">
      <c r="A82" s="105">
        <v>25</v>
      </c>
      <c r="B82" s="109" t="s">
        <v>427</v>
      </c>
      <c r="C82" s="36">
        <v>124.8</v>
      </c>
      <c r="D82" s="4"/>
      <c r="E82" s="110"/>
      <c r="F82" s="52"/>
    </row>
    <row r="83" spans="1:7" x14ac:dyDescent="0.25">
      <c r="A83" s="105">
        <v>26</v>
      </c>
      <c r="B83" s="109" t="s">
        <v>428</v>
      </c>
      <c r="C83" s="36">
        <v>1380</v>
      </c>
      <c r="D83" s="4"/>
      <c r="E83" s="110"/>
      <c r="F83" s="52"/>
    </row>
    <row r="84" spans="1:7" x14ac:dyDescent="0.25">
      <c r="A84" s="105">
        <v>27</v>
      </c>
      <c r="B84" s="107" t="s">
        <v>563</v>
      </c>
      <c r="C84" s="47">
        <f>+C85+C86</f>
        <v>1640</v>
      </c>
      <c r="D84" s="4"/>
      <c r="E84" s="52"/>
      <c r="F84" s="52"/>
    </row>
    <row r="85" spans="1:7" x14ac:dyDescent="0.25">
      <c r="A85" s="105">
        <v>28</v>
      </c>
      <c r="B85" s="109" t="s">
        <v>429</v>
      </c>
      <c r="C85" s="36">
        <v>40</v>
      </c>
      <c r="D85" s="4"/>
      <c r="G85" s="48"/>
    </row>
    <row r="86" spans="1:7" x14ac:dyDescent="0.25">
      <c r="A86" s="105">
        <v>29</v>
      </c>
      <c r="B86" s="109" t="s">
        <v>430</v>
      </c>
      <c r="C86" s="36">
        <v>1600</v>
      </c>
      <c r="D86" s="4"/>
      <c r="E86" s="110"/>
    </row>
    <row r="87" spans="1:7" x14ac:dyDescent="0.25">
      <c r="A87" s="105">
        <v>30</v>
      </c>
      <c r="B87" s="107" t="s">
        <v>431</v>
      </c>
      <c r="C87" s="49">
        <v>50</v>
      </c>
      <c r="D87" s="4"/>
      <c r="E87" s="52"/>
      <c r="F87" s="52"/>
    </row>
    <row r="88" spans="1:7" x14ac:dyDescent="0.25">
      <c r="A88" s="105">
        <v>31</v>
      </c>
      <c r="B88" s="107" t="s">
        <v>432</v>
      </c>
      <c r="C88" s="49">
        <v>10</v>
      </c>
      <c r="D88" s="4"/>
      <c r="E88" s="4"/>
    </row>
    <row r="89" spans="1:7" x14ac:dyDescent="0.25">
      <c r="A89" s="105">
        <v>32</v>
      </c>
      <c r="B89" s="107" t="s">
        <v>433</v>
      </c>
      <c r="C89" s="49">
        <v>78</v>
      </c>
      <c r="D89" s="4"/>
    </row>
    <row r="90" spans="1:7" x14ac:dyDescent="0.25">
      <c r="A90" s="105">
        <v>33</v>
      </c>
      <c r="B90" s="118" t="s">
        <v>564</v>
      </c>
      <c r="C90" s="49">
        <f>+C8+C17+C74</f>
        <v>70171.799999999988</v>
      </c>
      <c r="D90" s="4"/>
      <c r="E90" s="4"/>
    </row>
    <row r="91" spans="1:7" ht="12.6" customHeight="1" x14ac:dyDescent="0.25">
      <c r="A91" s="105">
        <v>34</v>
      </c>
      <c r="B91" s="108" t="s">
        <v>434</v>
      </c>
      <c r="C91" s="47">
        <f>1169.7+400</f>
        <v>1569.7</v>
      </c>
      <c r="D91" s="51"/>
      <c r="F91" s="4"/>
      <c r="G91" s="143"/>
    </row>
    <row r="92" spans="1:7" ht="12.6" customHeight="1" x14ac:dyDescent="0.25">
      <c r="A92" s="105">
        <v>35</v>
      </c>
      <c r="B92" s="118" t="s">
        <v>565</v>
      </c>
      <c r="C92" s="49">
        <f>+C90+C91</f>
        <v>71741.499999999985</v>
      </c>
      <c r="D92" s="4"/>
      <c r="E92" s="4"/>
      <c r="F92" s="4"/>
      <c r="G92" s="4"/>
    </row>
    <row r="93" spans="1:7" ht="12.6" customHeight="1" x14ac:dyDescent="0.25">
      <c r="A93" s="105">
        <v>36</v>
      </c>
      <c r="B93" s="107" t="s">
        <v>566</v>
      </c>
      <c r="C93" s="49">
        <f>+C94+C96+C95+C97+C98+C99+C100+C101+C102</f>
        <v>4757</v>
      </c>
      <c r="D93" s="48"/>
      <c r="E93" s="4"/>
      <c r="F93" s="4"/>
      <c r="G93" s="4"/>
    </row>
    <row r="94" spans="1:7" x14ac:dyDescent="0.25">
      <c r="A94" s="105">
        <v>37</v>
      </c>
      <c r="B94" s="109" t="s">
        <v>435</v>
      </c>
      <c r="C94" s="36">
        <f>4778.7-(1931.1-270.6-185)</f>
        <v>3303.2</v>
      </c>
      <c r="D94" s="119"/>
      <c r="E94" s="4"/>
      <c r="F94" s="4"/>
      <c r="G94" s="4"/>
    </row>
    <row r="95" spans="1:7" ht="12.6" customHeight="1" x14ac:dyDescent="0.25">
      <c r="A95" s="105">
        <v>38</v>
      </c>
      <c r="B95" s="109" t="s">
        <v>436</v>
      </c>
      <c r="C95" s="36">
        <v>48.7</v>
      </c>
      <c r="D95" s="120"/>
      <c r="E95" s="110"/>
      <c r="F95" s="4"/>
      <c r="G95" s="4"/>
    </row>
    <row r="96" spans="1:7" ht="12.6" customHeight="1" x14ac:dyDescent="0.25">
      <c r="A96" s="105">
        <v>39</v>
      </c>
      <c r="B96" s="109" t="s">
        <v>437</v>
      </c>
      <c r="C96" s="36">
        <v>54.3</v>
      </c>
      <c r="D96" s="120"/>
      <c r="E96" s="110"/>
      <c r="F96" s="4"/>
      <c r="G96" s="4"/>
    </row>
    <row r="97" spans="1:7" ht="12.6" customHeight="1" x14ac:dyDescent="0.25">
      <c r="A97" s="105">
        <v>40</v>
      </c>
      <c r="B97" s="104" t="s">
        <v>438</v>
      </c>
      <c r="C97" s="36">
        <v>116.3</v>
      </c>
      <c r="D97" s="120"/>
      <c r="E97" s="110"/>
      <c r="F97" s="4"/>
      <c r="G97" s="4"/>
    </row>
    <row r="98" spans="1:7" ht="12.6" customHeight="1" x14ac:dyDescent="0.25">
      <c r="A98" s="105">
        <v>41</v>
      </c>
      <c r="B98" s="109" t="s">
        <v>439</v>
      </c>
      <c r="C98" s="36">
        <v>190.5</v>
      </c>
      <c r="D98" s="120"/>
      <c r="E98" s="110"/>
      <c r="G98" s="4"/>
    </row>
    <row r="99" spans="1:7" ht="12.6" customHeight="1" x14ac:dyDescent="0.25">
      <c r="A99" s="105">
        <v>42</v>
      </c>
      <c r="B99" s="109" t="s">
        <v>440</v>
      </c>
      <c r="C99" s="36">
        <v>120</v>
      </c>
      <c r="D99" s="120"/>
      <c r="E99" s="110"/>
      <c r="F99" s="4"/>
      <c r="G99" s="4"/>
    </row>
    <row r="100" spans="1:7" ht="12.6" customHeight="1" x14ac:dyDescent="0.25">
      <c r="A100" s="105">
        <v>43</v>
      </c>
      <c r="B100" s="109" t="s">
        <v>441</v>
      </c>
      <c r="C100" s="36">
        <f>(6.4+118.9-60.3)+(304+8.5-62.5)</f>
        <v>315</v>
      </c>
      <c r="D100" s="142"/>
      <c r="E100" s="120"/>
      <c r="F100" s="4"/>
      <c r="G100" s="4"/>
    </row>
    <row r="101" spans="1:7" ht="12.6" customHeight="1" x14ac:dyDescent="0.25">
      <c r="A101" s="105">
        <v>44</v>
      </c>
      <c r="B101" s="112" t="s">
        <v>395</v>
      </c>
      <c r="C101" s="36">
        <v>583.1</v>
      </c>
      <c r="D101" s="120"/>
      <c r="E101" s="110"/>
      <c r="F101" s="4"/>
      <c r="G101" s="4"/>
    </row>
    <row r="102" spans="1:7" ht="12.6" customHeight="1" x14ac:dyDescent="0.25">
      <c r="A102" s="105">
        <v>45</v>
      </c>
      <c r="B102" s="112" t="s">
        <v>442</v>
      </c>
      <c r="C102" s="36">
        <f>25.9</f>
        <v>25.9</v>
      </c>
      <c r="D102" s="120"/>
      <c r="E102" s="110"/>
      <c r="F102" s="4"/>
      <c r="G102" s="4"/>
    </row>
    <row r="103" spans="1:7" ht="12.6" customHeight="1" x14ac:dyDescent="0.25">
      <c r="A103" s="105">
        <v>47</v>
      </c>
      <c r="B103" s="118" t="s">
        <v>443</v>
      </c>
      <c r="C103" s="53">
        <f>+C92+C93</f>
        <v>76498.499999999985</v>
      </c>
      <c r="D103" s="50"/>
      <c r="G103" s="48"/>
    </row>
    <row r="104" spans="1:7" ht="12.6" customHeight="1" x14ac:dyDescent="0.25">
      <c r="A104" s="42"/>
      <c r="B104" s="121" t="s">
        <v>444</v>
      </c>
      <c r="C104" s="54"/>
    </row>
    <row r="105" spans="1:7" ht="12.6" customHeight="1" x14ac:dyDescent="0.25">
      <c r="A105" s="42"/>
      <c r="B105" s="121"/>
      <c r="C105" s="54"/>
    </row>
    <row r="106" spans="1:7" ht="12.6" customHeight="1" x14ac:dyDescent="0.25">
      <c r="A106" s="42"/>
      <c r="B106" s="121"/>
    </row>
    <row r="107" spans="1:7" ht="12.6" customHeight="1" x14ac:dyDescent="0.25">
      <c r="A107" s="42"/>
      <c r="B107" s="121"/>
      <c r="C107" s="54"/>
    </row>
    <row r="108" spans="1:7" ht="12.6" customHeight="1" x14ac:dyDescent="0.25">
      <c r="A108" s="42"/>
      <c r="B108" s="121"/>
      <c r="C108" s="51"/>
      <c r="G108" s="48"/>
    </row>
    <row r="109" spans="1:7" ht="12.6" customHeight="1" x14ac:dyDescent="0.25">
      <c r="A109" s="42"/>
      <c r="B109" s="121"/>
      <c r="C109" s="54"/>
    </row>
    <row r="110" spans="1:7" x14ac:dyDescent="0.25">
      <c r="B110" s="25"/>
      <c r="C110" s="51"/>
      <c r="G110" s="48"/>
    </row>
    <row r="111" spans="1:7" x14ac:dyDescent="0.25">
      <c r="B111" s="25"/>
      <c r="C111" s="51"/>
    </row>
    <row r="112" spans="1:7" x14ac:dyDescent="0.25">
      <c r="B112" s="25"/>
      <c r="C112" s="51"/>
    </row>
    <row r="113" spans="1:7" ht="15.6" x14ac:dyDescent="0.3">
      <c r="B113" s="136"/>
      <c r="C113" s="137"/>
      <c r="G113" s="48"/>
    </row>
    <row r="114" spans="1:7" x14ac:dyDescent="0.25">
      <c r="C114" s="51"/>
      <c r="G114" s="48"/>
    </row>
    <row r="115" spans="1:7" ht="15.6" x14ac:dyDescent="0.3">
      <c r="A115" s="135"/>
      <c r="B115" s="136"/>
      <c r="C115" s="137"/>
    </row>
    <row r="116" spans="1:7" ht="15.6" x14ac:dyDescent="0.3">
      <c r="B116" s="55"/>
      <c r="C116" s="51"/>
    </row>
    <row r="117" spans="1:7" x14ac:dyDescent="0.25">
      <c r="B117" s="25"/>
      <c r="C117" s="48"/>
    </row>
    <row r="118" spans="1:7" x14ac:dyDescent="0.25">
      <c r="B118" s="56"/>
      <c r="C118" s="51"/>
    </row>
    <row r="120" spans="1:7" x14ac:dyDescent="0.25">
      <c r="C120" s="48"/>
    </row>
  </sheetData>
  <mergeCells count="3">
    <mergeCell ref="B1:C1"/>
    <mergeCell ref="B2:C2"/>
    <mergeCell ref="A3:C3"/>
  </mergeCells>
  <phoneticPr fontId="13" type="noConversion"/>
  <pageMargins left="0.70866141732283472" right="0" top="0.39370078740157483" bottom="0.19685039370078741" header="0.31496062992125984" footer="0.31496062992125984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U338"/>
  <sheetViews>
    <sheetView topLeftCell="A307" workbookViewId="0">
      <selection sqref="A1:F310"/>
    </sheetView>
  </sheetViews>
  <sheetFormatPr defaultColWidth="9.109375" defaultRowHeight="13.2" x14ac:dyDescent="0.25"/>
  <cols>
    <col min="1" max="1" width="5.88671875" style="5" customWidth="1"/>
    <col min="2" max="2" width="6.6640625" style="6" customWidth="1"/>
    <col min="3" max="3" width="51.33203125" style="3" customWidth="1"/>
    <col min="4" max="4" width="10.6640625" style="7" customWidth="1"/>
    <col min="5" max="5" width="9.6640625" style="3" customWidth="1"/>
    <col min="6" max="6" width="11" style="3" customWidth="1"/>
    <col min="7" max="16384" width="9.109375" style="2"/>
  </cols>
  <sheetData>
    <row r="1" spans="1:11" ht="15.75" customHeight="1" x14ac:dyDescent="0.3">
      <c r="C1" s="162" t="s">
        <v>385</v>
      </c>
      <c r="D1" s="162"/>
      <c r="E1" s="162"/>
      <c r="F1" s="162"/>
    </row>
    <row r="2" spans="1:11" ht="15.6" x14ac:dyDescent="0.3">
      <c r="C2" s="162" t="s">
        <v>732</v>
      </c>
      <c r="D2" s="162"/>
      <c r="E2" s="162"/>
      <c r="F2" s="162"/>
    </row>
    <row r="3" spans="1:11" ht="14.25" customHeight="1" x14ac:dyDescent="0.25">
      <c r="B3" s="7"/>
      <c r="E3" s="163" t="s">
        <v>115</v>
      </c>
      <c r="F3" s="163"/>
    </row>
    <row r="4" spans="1:11" ht="15.6" x14ac:dyDescent="0.25">
      <c r="B4" s="7"/>
      <c r="E4" s="41"/>
      <c r="F4" s="41"/>
    </row>
    <row r="5" spans="1:11" ht="25.5" customHeight="1" x14ac:dyDescent="0.25">
      <c r="A5" s="164" t="s">
        <v>456</v>
      </c>
      <c r="B5" s="164"/>
      <c r="C5" s="164"/>
      <c r="D5" s="164"/>
      <c r="E5" s="164"/>
      <c r="F5" s="164"/>
    </row>
    <row r="6" spans="1:11" x14ac:dyDescent="0.25">
      <c r="A6" s="31"/>
      <c r="B6" s="31"/>
      <c r="C6" s="31"/>
      <c r="D6" s="31"/>
      <c r="E6" s="31"/>
      <c r="F6" s="31"/>
    </row>
    <row r="7" spans="1:11" x14ac:dyDescent="0.25">
      <c r="B7" s="7"/>
      <c r="E7" s="5"/>
      <c r="F7" s="99" t="s">
        <v>129</v>
      </c>
    </row>
    <row r="8" spans="1:11" ht="43.5" customHeight="1" x14ac:dyDescent="0.25">
      <c r="A8" s="8" t="s">
        <v>118</v>
      </c>
      <c r="B8" s="9" t="s">
        <v>459</v>
      </c>
      <c r="C8" s="8" t="s">
        <v>16</v>
      </c>
      <c r="D8" s="9" t="s">
        <v>53</v>
      </c>
      <c r="E8" s="8" t="s">
        <v>17</v>
      </c>
      <c r="F8" s="8" t="s">
        <v>29</v>
      </c>
    </row>
    <row r="9" spans="1:11" x14ac:dyDescent="0.25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</row>
    <row r="10" spans="1:11" ht="20.100000000000001" customHeight="1" x14ac:dyDescent="0.25">
      <c r="A10" s="12">
        <v>1</v>
      </c>
      <c r="B10" s="11" t="s">
        <v>54</v>
      </c>
      <c r="C10" s="13" t="s">
        <v>55</v>
      </c>
      <c r="D10" s="9"/>
      <c r="E10" s="59">
        <f>+E11+E12+E13+E14+E15+E16+E17+E18+E19+E20+E21+E22+E23+E24+E25+E26+E27+E28+E29+E30+E31+E32+E33+E34+E35+E36+E38+E39+E40+E41+E42</f>
        <v>12066.900000000001</v>
      </c>
      <c r="F10" s="59">
        <f>+F11+F12+F13+F14+F15+F16+F17+F18+F19+F20+F21+F22+F23+F24+F25+F26+F27+F28+F29+F30+F31+F32+F33+F34+F35+F36+F38+F39+F40+F41+F42</f>
        <v>9188.6000000000022</v>
      </c>
      <c r="I10" s="40"/>
      <c r="J10" s="40"/>
      <c r="K10" s="40"/>
    </row>
    <row r="11" spans="1:11" ht="12.6" customHeight="1" x14ac:dyDescent="0.25">
      <c r="A11" s="12">
        <v>2</v>
      </c>
      <c r="B11" s="1"/>
      <c r="C11" s="24" t="s">
        <v>176</v>
      </c>
      <c r="D11" s="1" t="s">
        <v>56</v>
      </c>
      <c r="E11" s="19">
        <v>365.8</v>
      </c>
      <c r="F11" s="19">
        <v>310</v>
      </c>
      <c r="I11" s="40"/>
      <c r="J11" s="139"/>
      <c r="K11" s="40"/>
    </row>
    <row r="12" spans="1:11" ht="12.6" customHeight="1" x14ac:dyDescent="0.25">
      <c r="A12" s="12">
        <v>3</v>
      </c>
      <c r="B12" s="1"/>
      <c r="C12" s="24" t="s">
        <v>167</v>
      </c>
      <c r="D12" s="1" t="s">
        <v>56</v>
      </c>
      <c r="E12" s="19">
        <v>394.6</v>
      </c>
      <c r="F12" s="19">
        <v>336.9</v>
      </c>
      <c r="I12" s="40"/>
      <c r="J12" s="139"/>
      <c r="K12" s="40"/>
    </row>
    <row r="13" spans="1:11" ht="12.6" customHeight="1" x14ac:dyDescent="0.25">
      <c r="A13" s="12">
        <v>4</v>
      </c>
      <c r="B13" s="1"/>
      <c r="C13" s="24" t="s">
        <v>168</v>
      </c>
      <c r="D13" s="1" t="s">
        <v>56</v>
      </c>
      <c r="E13" s="19">
        <v>360.8</v>
      </c>
      <c r="F13" s="19">
        <v>300.10000000000002</v>
      </c>
      <c r="I13" s="40"/>
      <c r="J13" s="139"/>
      <c r="K13" s="40"/>
    </row>
    <row r="14" spans="1:11" ht="12.6" customHeight="1" x14ac:dyDescent="0.25">
      <c r="A14" s="12">
        <v>5</v>
      </c>
      <c r="B14" s="1"/>
      <c r="C14" s="24" t="s">
        <v>172</v>
      </c>
      <c r="D14" s="1" t="s">
        <v>56</v>
      </c>
      <c r="E14" s="19">
        <v>358.2</v>
      </c>
      <c r="F14" s="19">
        <v>299.2</v>
      </c>
      <c r="I14" s="40"/>
      <c r="J14" s="139"/>
      <c r="K14" s="40"/>
    </row>
    <row r="15" spans="1:11" ht="12.6" customHeight="1" x14ac:dyDescent="0.25">
      <c r="A15" s="12">
        <v>6</v>
      </c>
      <c r="B15" s="1"/>
      <c r="C15" s="24" t="s">
        <v>169</v>
      </c>
      <c r="D15" s="1" t="s">
        <v>56</v>
      </c>
      <c r="E15" s="19">
        <v>372.8</v>
      </c>
      <c r="F15" s="19">
        <v>310.8</v>
      </c>
      <c r="I15" s="40"/>
      <c r="J15" s="139"/>
      <c r="K15" s="40"/>
    </row>
    <row r="16" spans="1:11" ht="12.6" customHeight="1" x14ac:dyDescent="0.25">
      <c r="A16" s="12">
        <v>7</v>
      </c>
      <c r="B16" s="1"/>
      <c r="C16" s="24" t="s">
        <v>170</v>
      </c>
      <c r="D16" s="1" t="s">
        <v>56</v>
      </c>
      <c r="E16" s="19">
        <v>442.2</v>
      </c>
      <c r="F16" s="19">
        <v>376.4</v>
      </c>
      <c r="I16" s="40"/>
      <c r="J16" s="139"/>
      <c r="K16" s="40"/>
    </row>
    <row r="17" spans="1:11" ht="12.6" customHeight="1" x14ac:dyDescent="0.25">
      <c r="A17" s="12">
        <v>8</v>
      </c>
      <c r="B17" s="1"/>
      <c r="C17" s="24" t="s">
        <v>171</v>
      </c>
      <c r="D17" s="1" t="s">
        <v>56</v>
      </c>
      <c r="E17" s="19">
        <v>399.1</v>
      </c>
      <c r="F17" s="19">
        <v>333</v>
      </c>
      <c r="I17" s="40"/>
      <c r="J17" s="139"/>
      <c r="K17" s="40"/>
    </row>
    <row r="18" spans="1:11" ht="12.6" customHeight="1" x14ac:dyDescent="0.25">
      <c r="A18" s="12">
        <v>9</v>
      </c>
      <c r="B18" s="1"/>
      <c r="C18" s="15" t="s">
        <v>208</v>
      </c>
      <c r="D18" s="1" t="s">
        <v>57</v>
      </c>
      <c r="E18" s="19">
        <v>351.4</v>
      </c>
      <c r="F18" s="19">
        <v>292.7</v>
      </c>
      <c r="I18" s="40"/>
      <c r="J18" s="139"/>
      <c r="K18" s="40"/>
    </row>
    <row r="19" spans="1:11" ht="12.6" customHeight="1" x14ac:dyDescent="0.25">
      <c r="A19" s="12">
        <v>10</v>
      </c>
      <c r="B19" s="1"/>
      <c r="C19" s="24" t="s">
        <v>175</v>
      </c>
      <c r="D19" s="1" t="s">
        <v>58</v>
      </c>
      <c r="E19" s="19">
        <v>377.7</v>
      </c>
      <c r="F19" s="19">
        <v>286.8</v>
      </c>
      <c r="I19" s="40"/>
      <c r="J19" s="139"/>
      <c r="K19" s="40"/>
    </row>
    <row r="20" spans="1:11" ht="25.95" customHeight="1" x14ac:dyDescent="0.25">
      <c r="A20" s="12">
        <v>11</v>
      </c>
      <c r="B20" s="1"/>
      <c r="C20" s="24" t="s">
        <v>44</v>
      </c>
      <c r="D20" s="14" t="s">
        <v>119</v>
      </c>
      <c r="E20" s="19">
        <v>356.4</v>
      </c>
      <c r="F20" s="19">
        <v>232.4</v>
      </c>
      <c r="I20" s="40"/>
      <c r="J20" s="139"/>
      <c r="K20" s="40"/>
    </row>
    <row r="21" spans="1:11" ht="12.6" customHeight="1" x14ac:dyDescent="0.25">
      <c r="A21" s="12">
        <v>12</v>
      </c>
      <c r="B21" s="1"/>
      <c r="C21" s="15" t="s">
        <v>134</v>
      </c>
      <c r="D21" s="1" t="s">
        <v>58</v>
      </c>
      <c r="E21" s="19">
        <v>753.4</v>
      </c>
      <c r="F21" s="19">
        <v>597.5</v>
      </c>
      <c r="I21" s="40"/>
      <c r="J21" s="139"/>
      <c r="K21" s="40"/>
    </row>
    <row r="22" spans="1:11" ht="12.6" customHeight="1" x14ac:dyDescent="0.25">
      <c r="A22" s="12">
        <v>13</v>
      </c>
      <c r="B22" s="1"/>
      <c r="C22" s="15" t="s">
        <v>135</v>
      </c>
      <c r="D22" s="1" t="s">
        <v>58</v>
      </c>
      <c r="E22" s="19">
        <v>347.4</v>
      </c>
      <c r="F22" s="19">
        <v>260.89999999999998</v>
      </c>
      <c r="I22" s="40"/>
      <c r="J22" s="139"/>
      <c r="K22" s="40"/>
    </row>
    <row r="23" spans="1:11" ht="12.6" customHeight="1" x14ac:dyDescent="0.25">
      <c r="A23" s="12">
        <v>14</v>
      </c>
      <c r="B23" s="1"/>
      <c r="C23" s="15" t="s">
        <v>38</v>
      </c>
      <c r="D23" s="1" t="s">
        <v>58</v>
      </c>
      <c r="E23" s="19">
        <v>771.1</v>
      </c>
      <c r="F23" s="19">
        <v>601.5</v>
      </c>
      <c r="I23" s="40"/>
      <c r="J23" s="139"/>
      <c r="K23" s="40"/>
    </row>
    <row r="24" spans="1:11" ht="12.6" customHeight="1" x14ac:dyDescent="0.25">
      <c r="A24" s="12">
        <v>15</v>
      </c>
      <c r="B24" s="1"/>
      <c r="C24" s="24" t="s">
        <v>138</v>
      </c>
      <c r="D24" s="1" t="s">
        <v>58</v>
      </c>
      <c r="E24" s="19">
        <v>401.5</v>
      </c>
      <c r="F24" s="19">
        <v>284.8</v>
      </c>
      <c r="I24" s="40"/>
      <c r="J24" s="139"/>
      <c r="K24" s="40"/>
    </row>
    <row r="25" spans="1:11" ht="12.6" customHeight="1" x14ac:dyDescent="0.25">
      <c r="A25" s="12">
        <v>16</v>
      </c>
      <c r="B25" s="1"/>
      <c r="C25" s="15" t="s">
        <v>173</v>
      </c>
      <c r="D25" s="1" t="s">
        <v>59</v>
      </c>
      <c r="E25" s="19">
        <v>565.9</v>
      </c>
      <c r="F25" s="19">
        <v>398.8</v>
      </c>
      <c r="I25" s="40"/>
      <c r="J25" s="139"/>
      <c r="K25" s="40"/>
    </row>
    <row r="26" spans="1:11" ht="12.6" customHeight="1" x14ac:dyDescent="0.25">
      <c r="A26" s="12">
        <v>17</v>
      </c>
      <c r="B26" s="1"/>
      <c r="C26" s="24" t="s">
        <v>174</v>
      </c>
      <c r="D26" s="1" t="s">
        <v>59</v>
      </c>
      <c r="E26" s="19">
        <v>392.2</v>
      </c>
      <c r="F26" s="19">
        <v>289.10000000000002</v>
      </c>
      <c r="I26" s="40"/>
      <c r="J26" s="139"/>
      <c r="K26" s="40"/>
    </row>
    <row r="27" spans="1:11" ht="12.6" customHeight="1" x14ac:dyDescent="0.25">
      <c r="A27" s="12">
        <v>18</v>
      </c>
      <c r="B27" s="1"/>
      <c r="C27" s="15" t="s">
        <v>120</v>
      </c>
      <c r="D27" s="1" t="s">
        <v>59</v>
      </c>
      <c r="E27" s="19">
        <v>385.3</v>
      </c>
      <c r="F27" s="19">
        <v>263.5</v>
      </c>
      <c r="I27" s="40"/>
      <c r="J27" s="139"/>
      <c r="K27" s="40"/>
    </row>
    <row r="28" spans="1:11" ht="12.6" customHeight="1" x14ac:dyDescent="0.25">
      <c r="A28" s="12">
        <v>19</v>
      </c>
      <c r="B28" s="1"/>
      <c r="C28" s="15" t="s">
        <v>39</v>
      </c>
      <c r="D28" s="1" t="s">
        <v>59</v>
      </c>
      <c r="E28" s="19">
        <v>244.4</v>
      </c>
      <c r="F28" s="19">
        <v>185.8</v>
      </c>
      <c r="I28" s="40"/>
      <c r="J28" s="139"/>
      <c r="K28" s="40"/>
    </row>
    <row r="29" spans="1:11" ht="12.6" customHeight="1" x14ac:dyDescent="0.25">
      <c r="A29" s="12">
        <v>20</v>
      </c>
      <c r="B29" s="1"/>
      <c r="C29" s="15" t="s">
        <v>136</v>
      </c>
      <c r="D29" s="1" t="s">
        <v>59</v>
      </c>
      <c r="E29" s="19">
        <v>710.6</v>
      </c>
      <c r="F29" s="19">
        <v>513.29999999999995</v>
      </c>
      <c r="I29" s="40"/>
      <c r="J29" s="139"/>
      <c r="K29" s="40"/>
    </row>
    <row r="30" spans="1:11" ht="12.6" customHeight="1" x14ac:dyDescent="0.25">
      <c r="A30" s="12">
        <v>21</v>
      </c>
      <c r="B30" s="1"/>
      <c r="C30" s="15" t="s">
        <v>152</v>
      </c>
      <c r="D30" s="1" t="s">
        <v>59</v>
      </c>
      <c r="E30" s="19">
        <v>162.19999999999999</v>
      </c>
      <c r="F30" s="19">
        <v>119.8</v>
      </c>
      <c r="I30" s="40"/>
      <c r="J30" s="139"/>
      <c r="K30" s="40"/>
    </row>
    <row r="31" spans="1:11" ht="12.6" customHeight="1" x14ac:dyDescent="0.25">
      <c r="A31" s="12">
        <v>22</v>
      </c>
      <c r="B31" s="1"/>
      <c r="C31" s="15" t="s">
        <v>40</v>
      </c>
      <c r="D31" s="1" t="s">
        <v>59</v>
      </c>
      <c r="E31" s="19">
        <v>204.1</v>
      </c>
      <c r="F31" s="19">
        <v>160.5</v>
      </c>
      <c r="I31" s="40"/>
      <c r="J31" s="139"/>
      <c r="K31" s="40"/>
    </row>
    <row r="32" spans="1:11" ht="12.6" customHeight="1" x14ac:dyDescent="0.25">
      <c r="A32" s="12">
        <v>23</v>
      </c>
      <c r="B32" s="1"/>
      <c r="C32" s="15" t="s">
        <v>137</v>
      </c>
      <c r="D32" s="1" t="s">
        <v>59</v>
      </c>
      <c r="E32" s="19">
        <v>189.5</v>
      </c>
      <c r="F32" s="19">
        <v>143.30000000000001</v>
      </c>
      <c r="I32" s="40"/>
      <c r="J32" s="139"/>
      <c r="K32" s="40"/>
    </row>
    <row r="33" spans="1:11" ht="52.8" x14ac:dyDescent="0.25">
      <c r="A33" s="12">
        <v>24</v>
      </c>
      <c r="B33" s="1"/>
      <c r="C33" s="15" t="s">
        <v>111</v>
      </c>
      <c r="D33" s="14" t="s">
        <v>448</v>
      </c>
      <c r="E33" s="19">
        <v>454.6</v>
      </c>
      <c r="F33" s="19">
        <v>322.5</v>
      </c>
      <c r="I33" s="40"/>
      <c r="J33" s="139"/>
      <c r="K33" s="40"/>
    </row>
    <row r="34" spans="1:11" ht="12.6" customHeight="1" x14ac:dyDescent="0.25">
      <c r="A34" s="12">
        <v>25</v>
      </c>
      <c r="B34" s="1"/>
      <c r="C34" s="21" t="s">
        <v>455</v>
      </c>
      <c r="D34" s="14" t="s">
        <v>59</v>
      </c>
      <c r="E34" s="19">
        <v>0.2</v>
      </c>
      <c r="F34" s="19"/>
      <c r="I34" s="40"/>
      <c r="J34" s="139"/>
      <c r="K34" s="40"/>
    </row>
    <row r="35" spans="1:11" ht="12.6" customHeight="1" x14ac:dyDescent="0.25">
      <c r="A35" s="12">
        <v>26</v>
      </c>
      <c r="B35" s="1"/>
      <c r="C35" s="24" t="s">
        <v>52</v>
      </c>
      <c r="D35" s="1" t="s">
        <v>60</v>
      </c>
      <c r="E35" s="19">
        <v>291.7</v>
      </c>
      <c r="F35" s="19">
        <v>284.8</v>
      </c>
      <c r="I35" s="40"/>
      <c r="J35" s="139"/>
      <c r="K35" s="40"/>
    </row>
    <row r="36" spans="1:11" ht="12.6" customHeight="1" x14ac:dyDescent="0.25">
      <c r="A36" s="168">
        <v>27</v>
      </c>
      <c r="B36" s="1"/>
      <c r="C36" s="24" t="s">
        <v>45</v>
      </c>
      <c r="D36" s="170" t="s">
        <v>60</v>
      </c>
      <c r="E36" s="19">
        <f>329.8+5</f>
        <v>334.8</v>
      </c>
      <c r="F36" s="19">
        <v>323.5</v>
      </c>
      <c r="G36" s="4"/>
      <c r="I36" s="40"/>
      <c r="J36" s="139"/>
      <c r="K36" s="40"/>
    </row>
    <row r="37" spans="1:11" ht="26.4" x14ac:dyDescent="0.25">
      <c r="A37" s="169"/>
      <c r="B37" s="1"/>
      <c r="C37" s="15" t="s">
        <v>647</v>
      </c>
      <c r="D37" s="171"/>
      <c r="E37" s="19">
        <v>5</v>
      </c>
      <c r="F37" s="19"/>
      <c r="G37" s="4"/>
      <c r="I37" s="40"/>
      <c r="J37" s="139"/>
      <c r="K37" s="40"/>
    </row>
    <row r="38" spans="1:11" ht="12.6" customHeight="1" x14ac:dyDescent="0.25">
      <c r="A38" s="12">
        <v>28</v>
      </c>
      <c r="B38" s="1"/>
      <c r="C38" s="24" t="s">
        <v>46</v>
      </c>
      <c r="D38" s="1" t="s">
        <v>60</v>
      </c>
      <c r="E38" s="19">
        <v>890.6</v>
      </c>
      <c r="F38" s="19">
        <v>871.2</v>
      </c>
      <c r="I38" s="40"/>
      <c r="J38" s="139"/>
      <c r="K38" s="40"/>
    </row>
    <row r="39" spans="1:11" ht="39.6" x14ac:dyDescent="0.25">
      <c r="A39" s="12">
        <v>29</v>
      </c>
      <c r="B39" s="1"/>
      <c r="C39" s="24" t="s">
        <v>133</v>
      </c>
      <c r="D39" s="14" t="s">
        <v>155</v>
      </c>
      <c r="E39" s="19">
        <v>135</v>
      </c>
      <c r="F39" s="19">
        <v>113.4</v>
      </c>
      <c r="I39" s="40"/>
      <c r="J39" s="139"/>
      <c r="K39" s="40"/>
    </row>
    <row r="40" spans="1:11" ht="12.6" customHeight="1" x14ac:dyDescent="0.25">
      <c r="A40" s="12">
        <v>30</v>
      </c>
      <c r="B40" s="1"/>
      <c r="C40" s="134" t="s">
        <v>15</v>
      </c>
      <c r="D40" s="1" t="s">
        <v>56</v>
      </c>
      <c r="E40" s="19">
        <v>134.69999999999999</v>
      </c>
      <c r="F40" s="19">
        <v>108.4</v>
      </c>
      <c r="I40" s="40"/>
      <c r="J40" s="139"/>
      <c r="K40" s="40"/>
    </row>
    <row r="41" spans="1:11" ht="12.6" customHeight="1" x14ac:dyDescent="0.25">
      <c r="A41" s="12">
        <v>31</v>
      </c>
      <c r="B41" s="1"/>
      <c r="C41" s="134" t="s">
        <v>19</v>
      </c>
      <c r="D41" s="1" t="s">
        <v>56</v>
      </c>
      <c r="E41" s="19">
        <v>151.4</v>
      </c>
      <c r="F41" s="19">
        <v>124.6</v>
      </c>
      <c r="G41" s="40"/>
      <c r="H41" s="40"/>
      <c r="I41" s="40"/>
      <c r="J41" s="139"/>
      <c r="K41" s="40"/>
    </row>
    <row r="42" spans="1:11" ht="12.6" customHeight="1" x14ac:dyDescent="0.25">
      <c r="A42" s="12">
        <v>32</v>
      </c>
      <c r="B42" s="1"/>
      <c r="C42" s="16" t="s">
        <v>184</v>
      </c>
      <c r="D42" s="1"/>
      <c r="E42" s="144">
        <f>+E43+E47+E44+E45+E46</f>
        <v>767.3</v>
      </c>
      <c r="F42" s="144">
        <f>+F43+F45+F46+F47</f>
        <v>143.1</v>
      </c>
      <c r="G42" s="40"/>
      <c r="H42" s="40"/>
      <c r="I42" s="40"/>
      <c r="J42" s="154"/>
      <c r="K42" s="40"/>
    </row>
    <row r="43" spans="1:11" ht="15" customHeight="1" x14ac:dyDescent="0.25">
      <c r="A43" s="34" t="s">
        <v>279</v>
      </c>
      <c r="B43" s="1"/>
      <c r="C43" s="24" t="s">
        <v>3</v>
      </c>
      <c r="D43" s="14" t="s">
        <v>140</v>
      </c>
      <c r="E43" s="144">
        <f>136.7+18.5</f>
        <v>155.19999999999999</v>
      </c>
      <c r="F43" s="144">
        <f>124.9+18.2</f>
        <v>143.1</v>
      </c>
      <c r="G43" s="40"/>
      <c r="H43" s="40"/>
      <c r="I43" s="40"/>
      <c r="J43" s="154"/>
      <c r="K43" s="40"/>
    </row>
    <row r="44" spans="1:11" ht="26.4" x14ac:dyDescent="0.25">
      <c r="A44" s="34" t="s">
        <v>280</v>
      </c>
      <c r="B44" s="1"/>
      <c r="C44" s="15" t="s">
        <v>209</v>
      </c>
      <c r="D44" s="14" t="s">
        <v>165</v>
      </c>
      <c r="E44" s="144">
        <v>69</v>
      </c>
      <c r="F44" s="19"/>
      <c r="G44" s="40"/>
      <c r="H44" s="40"/>
      <c r="I44" s="40"/>
    </row>
    <row r="45" spans="1:11" ht="26.4" x14ac:dyDescent="0.25">
      <c r="A45" s="34" t="s">
        <v>281</v>
      </c>
      <c r="B45" s="1"/>
      <c r="C45" s="145" t="s">
        <v>252</v>
      </c>
      <c r="D45" s="1" t="s">
        <v>61</v>
      </c>
      <c r="E45" s="144">
        <v>50</v>
      </c>
      <c r="F45" s="19"/>
      <c r="G45" s="40"/>
      <c r="H45" s="40"/>
      <c r="I45" s="40"/>
    </row>
    <row r="46" spans="1:11" ht="12.6" customHeight="1" x14ac:dyDescent="0.25">
      <c r="A46" s="34" t="s">
        <v>282</v>
      </c>
      <c r="B46" s="1"/>
      <c r="C46" s="145" t="s">
        <v>186</v>
      </c>
      <c r="D46" s="1" t="s">
        <v>62</v>
      </c>
      <c r="E46" s="144">
        <v>14</v>
      </c>
      <c r="F46" s="19"/>
      <c r="G46" s="40"/>
      <c r="H46" s="40"/>
      <c r="I46" s="40"/>
    </row>
    <row r="47" spans="1:11" ht="39" customHeight="1" x14ac:dyDescent="0.25">
      <c r="A47" s="34" t="s">
        <v>283</v>
      </c>
      <c r="B47" s="1"/>
      <c r="C47" s="60" t="s">
        <v>464</v>
      </c>
      <c r="D47" s="1"/>
      <c r="E47" s="63">
        <f>SUM(E48:E56)</f>
        <v>479.1</v>
      </c>
      <c r="F47" s="63">
        <f>SUM(F48:F56)</f>
        <v>0</v>
      </c>
      <c r="G47" s="40"/>
      <c r="H47" s="40"/>
      <c r="I47" s="40"/>
    </row>
    <row r="48" spans="1:11" ht="26.4" x14ac:dyDescent="0.25">
      <c r="A48" s="34" t="s">
        <v>284</v>
      </c>
      <c r="B48" s="1"/>
      <c r="C48" s="62" t="s">
        <v>156</v>
      </c>
      <c r="D48" s="1" t="s">
        <v>59</v>
      </c>
      <c r="E48" s="144">
        <v>124.1</v>
      </c>
      <c r="F48" s="19"/>
      <c r="G48" s="40"/>
      <c r="H48" s="40"/>
      <c r="I48" s="40"/>
    </row>
    <row r="49" spans="1:11" ht="26.4" x14ac:dyDescent="0.25">
      <c r="A49" s="34" t="s">
        <v>285</v>
      </c>
      <c r="B49" s="1"/>
      <c r="C49" s="29" t="s">
        <v>466</v>
      </c>
      <c r="D49" s="1" t="s">
        <v>60</v>
      </c>
      <c r="E49" s="144">
        <v>50</v>
      </c>
      <c r="F49" s="19"/>
      <c r="G49" s="40"/>
      <c r="H49" s="40"/>
      <c r="I49" s="40"/>
    </row>
    <row r="50" spans="1:11" ht="26.4" x14ac:dyDescent="0.25">
      <c r="A50" s="34" t="s">
        <v>286</v>
      </c>
      <c r="B50" s="1"/>
      <c r="C50" s="35" t="s">
        <v>465</v>
      </c>
      <c r="D50" s="1" t="s">
        <v>59</v>
      </c>
      <c r="E50" s="144">
        <v>30</v>
      </c>
      <c r="F50" s="19"/>
      <c r="G50" s="40"/>
      <c r="H50" s="40"/>
      <c r="I50" s="40"/>
    </row>
    <row r="51" spans="1:11" x14ac:dyDescent="0.25">
      <c r="A51" s="34" t="s">
        <v>287</v>
      </c>
      <c r="B51" s="1"/>
      <c r="C51" s="145" t="s">
        <v>648</v>
      </c>
      <c r="D51" s="1" t="s">
        <v>59</v>
      </c>
      <c r="E51" s="144">
        <v>25</v>
      </c>
      <c r="F51" s="19"/>
      <c r="G51" s="40"/>
      <c r="H51" s="40"/>
      <c r="I51" s="40"/>
    </row>
    <row r="52" spans="1:11" ht="26.4" x14ac:dyDescent="0.25">
      <c r="A52" s="34" t="s">
        <v>288</v>
      </c>
      <c r="B52" s="1"/>
      <c r="C52" s="35" t="s">
        <v>259</v>
      </c>
      <c r="D52" s="14" t="s">
        <v>165</v>
      </c>
      <c r="E52" s="144">
        <v>100</v>
      </c>
      <c r="F52" s="19"/>
      <c r="G52" s="40"/>
      <c r="H52" s="40"/>
      <c r="I52" s="40"/>
    </row>
    <row r="53" spans="1:11" ht="26.4" x14ac:dyDescent="0.25">
      <c r="A53" s="34" t="s">
        <v>289</v>
      </c>
      <c r="B53" s="18"/>
      <c r="C53" s="62" t="s">
        <v>260</v>
      </c>
      <c r="D53" s="14" t="s">
        <v>165</v>
      </c>
      <c r="E53" s="36">
        <v>50</v>
      </c>
      <c r="F53" s="36"/>
      <c r="G53" s="40"/>
      <c r="H53" s="40"/>
      <c r="I53" s="40"/>
    </row>
    <row r="54" spans="1:11" ht="26.4" x14ac:dyDescent="0.25">
      <c r="A54" s="34" t="s">
        <v>446</v>
      </c>
      <c r="B54" s="1"/>
      <c r="C54" s="145" t="s">
        <v>210</v>
      </c>
      <c r="D54" s="14" t="s">
        <v>165</v>
      </c>
      <c r="E54" s="144">
        <v>50</v>
      </c>
      <c r="F54" s="19"/>
      <c r="G54" s="40"/>
      <c r="H54" s="40"/>
      <c r="I54" s="40"/>
    </row>
    <row r="55" spans="1:11" ht="26.4" x14ac:dyDescent="0.25">
      <c r="A55" s="34" t="s">
        <v>645</v>
      </c>
      <c r="B55" s="1"/>
      <c r="C55" s="145" t="s">
        <v>467</v>
      </c>
      <c r="D55" s="14" t="s">
        <v>165</v>
      </c>
      <c r="E55" s="144">
        <v>30</v>
      </c>
      <c r="F55" s="19"/>
      <c r="G55" s="40"/>
      <c r="H55" s="40"/>
      <c r="I55" s="40"/>
    </row>
    <row r="56" spans="1:11" x14ac:dyDescent="0.25">
      <c r="A56" s="34" t="s">
        <v>646</v>
      </c>
      <c r="B56" s="1"/>
      <c r="C56" s="145" t="s">
        <v>644</v>
      </c>
      <c r="D56" s="14" t="s">
        <v>32</v>
      </c>
      <c r="E56" s="144">
        <v>20</v>
      </c>
      <c r="F56" s="19"/>
      <c r="G56" s="40"/>
      <c r="H56" s="40"/>
      <c r="I56" s="40"/>
    </row>
    <row r="57" spans="1:11" ht="20.100000000000001" customHeight="1" x14ac:dyDescent="0.25">
      <c r="A57" s="12">
        <v>33</v>
      </c>
      <c r="B57" s="11" t="s">
        <v>63</v>
      </c>
      <c r="C57" s="17" t="s">
        <v>64</v>
      </c>
      <c r="D57" s="9"/>
      <c r="E57" s="57">
        <f>+E58+E60</f>
        <v>561.20000000000005</v>
      </c>
      <c r="F57" s="57">
        <f>+F58+F60</f>
        <v>62.5</v>
      </c>
      <c r="G57" s="40"/>
      <c r="H57" s="40"/>
      <c r="I57" s="40"/>
      <c r="K57" s="48"/>
    </row>
    <row r="58" spans="1:11" ht="12.6" customHeight="1" x14ac:dyDescent="0.25">
      <c r="A58" s="168">
        <v>34</v>
      </c>
      <c r="B58" s="11"/>
      <c r="C58" s="15" t="s">
        <v>187</v>
      </c>
      <c r="D58" s="176" t="s">
        <v>188</v>
      </c>
      <c r="E58" s="19">
        <f>63.7+E59</f>
        <v>98.7</v>
      </c>
      <c r="F58" s="19">
        <v>62.5</v>
      </c>
      <c r="G58" s="40"/>
      <c r="H58" s="40"/>
      <c r="I58" s="40"/>
    </row>
    <row r="59" spans="1:11" ht="26.4" x14ac:dyDescent="0.25">
      <c r="A59" s="169"/>
      <c r="B59" s="11"/>
      <c r="C59" s="64" t="s">
        <v>570</v>
      </c>
      <c r="D59" s="177"/>
      <c r="E59" s="19">
        <v>35</v>
      </c>
      <c r="F59" s="19"/>
      <c r="G59" s="40"/>
      <c r="H59" s="40"/>
      <c r="I59" s="40"/>
    </row>
    <row r="60" spans="1:11" ht="12.6" customHeight="1" x14ac:dyDescent="0.25">
      <c r="A60" s="12">
        <v>35</v>
      </c>
      <c r="B60" s="1"/>
      <c r="C60" s="16" t="s">
        <v>184</v>
      </c>
      <c r="D60" s="14"/>
      <c r="E60" s="19">
        <f>+E62+E63+E64+E65+E66+E67+E68+E69+E70+E71+E72+E73+E74+E75+E76+E61</f>
        <v>462.5</v>
      </c>
      <c r="F60" s="19">
        <f>+F62+F63+F64+F65+F66+F67+F68+F69+F70+F71+F72+F73+F74+F75+F76+F61</f>
        <v>0</v>
      </c>
      <c r="G60" s="40"/>
      <c r="H60" s="40"/>
      <c r="I60" s="40"/>
    </row>
    <row r="61" spans="1:11" ht="12.6" customHeight="1" x14ac:dyDescent="0.25">
      <c r="A61" s="34" t="s">
        <v>290</v>
      </c>
      <c r="B61" s="1"/>
      <c r="C61" s="24" t="s">
        <v>3</v>
      </c>
      <c r="D61" s="1" t="s">
        <v>109</v>
      </c>
      <c r="E61" s="19">
        <v>3</v>
      </c>
      <c r="F61" s="19"/>
      <c r="G61" s="40"/>
      <c r="H61" s="40"/>
      <c r="I61" s="40"/>
    </row>
    <row r="62" spans="1:11" ht="42" customHeight="1" x14ac:dyDescent="0.25">
      <c r="A62" s="34" t="s">
        <v>291</v>
      </c>
      <c r="B62" s="1"/>
      <c r="C62" s="146" t="s">
        <v>469</v>
      </c>
      <c r="D62" s="14" t="s">
        <v>65</v>
      </c>
      <c r="E62" s="19">
        <v>43.9</v>
      </c>
      <c r="F62" s="19"/>
      <c r="G62" s="40"/>
      <c r="H62" s="40"/>
      <c r="I62" s="40"/>
    </row>
    <row r="63" spans="1:11" x14ac:dyDescent="0.25">
      <c r="A63" s="34" t="s">
        <v>292</v>
      </c>
      <c r="B63" s="1"/>
      <c r="C63" s="146" t="s">
        <v>249</v>
      </c>
      <c r="D63" s="14" t="s">
        <v>66</v>
      </c>
      <c r="E63" s="19">
        <v>20</v>
      </c>
      <c r="F63" s="19"/>
      <c r="G63" s="40"/>
      <c r="H63" s="40"/>
      <c r="I63" s="40"/>
    </row>
    <row r="64" spans="1:11" ht="26.4" x14ac:dyDescent="0.25">
      <c r="A64" s="34" t="s">
        <v>293</v>
      </c>
      <c r="B64" s="1"/>
      <c r="C64" s="146" t="s">
        <v>253</v>
      </c>
      <c r="D64" s="14" t="s">
        <v>65</v>
      </c>
      <c r="E64" s="19">
        <v>5.2</v>
      </c>
      <c r="F64" s="19"/>
      <c r="G64" s="40"/>
      <c r="H64" s="40"/>
      <c r="I64" s="40"/>
    </row>
    <row r="65" spans="1:11" ht="39.6" x14ac:dyDescent="0.25">
      <c r="A65" s="34" t="s">
        <v>294</v>
      </c>
      <c r="B65" s="1"/>
      <c r="C65" s="146" t="s">
        <v>470</v>
      </c>
      <c r="D65" s="14" t="s">
        <v>627</v>
      </c>
      <c r="E65" s="19">
        <v>18.2</v>
      </c>
      <c r="F65" s="19"/>
      <c r="G65" s="40"/>
      <c r="H65" s="40"/>
      <c r="I65" s="40"/>
    </row>
    <row r="66" spans="1:11" ht="26.4" x14ac:dyDescent="0.25">
      <c r="A66" s="34" t="s">
        <v>295</v>
      </c>
      <c r="B66" s="1"/>
      <c r="C66" s="146" t="s">
        <v>250</v>
      </c>
      <c r="D66" s="14" t="s">
        <v>65</v>
      </c>
      <c r="E66" s="19">
        <f>25.2+1</f>
        <v>26.2</v>
      </c>
      <c r="F66" s="19"/>
      <c r="G66" s="40"/>
      <c r="H66" s="40"/>
      <c r="I66" s="40"/>
    </row>
    <row r="67" spans="1:11" ht="39.6" x14ac:dyDescent="0.25">
      <c r="A67" s="34" t="s">
        <v>296</v>
      </c>
      <c r="B67" s="1"/>
      <c r="C67" s="146" t="s">
        <v>251</v>
      </c>
      <c r="D67" s="14" t="s">
        <v>127</v>
      </c>
      <c r="E67" s="19">
        <v>48</v>
      </c>
      <c r="F67" s="19"/>
      <c r="G67" s="40"/>
      <c r="H67" s="40"/>
      <c r="I67" s="40"/>
    </row>
    <row r="68" spans="1:11" ht="45" customHeight="1" x14ac:dyDescent="0.25">
      <c r="A68" s="34" t="s">
        <v>297</v>
      </c>
      <c r="B68" s="1"/>
      <c r="C68" s="146" t="s">
        <v>189</v>
      </c>
      <c r="D68" s="14" t="s">
        <v>197</v>
      </c>
      <c r="E68" s="19">
        <v>7</v>
      </c>
      <c r="F68" s="19"/>
      <c r="G68" s="40"/>
      <c r="H68" s="40"/>
      <c r="I68" s="40"/>
    </row>
    <row r="69" spans="1:11" ht="26.4" x14ac:dyDescent="0.25">
      <c r="A69" s="34" t="s">
        <v>298</v>
      </c>
      <c r="B69" s="1"/>
      <c r="C69" s="146" t="s">
        <v>471</v>
      </c>
      <c r="D69" s="14" t="s">
        <v>65</v>
      </c>
      <c r="E69" s="19">
        <v>23</v>
      </c>
      <c r="F69" s="19"/>
      <c r="G69" s="40"/>
      <c r="H69" s="40"/>
      <c r="I69" s="40"/>
    </row>
    <row r="70" spans="1:11" ht="26.4" x14ac:dyDescent="0.25">
      <c r="A70" s="34" t="s">
        <v>299</v>
      </c>
      <c r="B70" s="1"/>
      <c r="C70" s="146" t="s">
        <v>230</v>
      </c>
      <c r="D70" s="14" t="s">
        <v>67</v>
      </c>
      <c r="E70" s="19">
        <v>21.1</v>
      </c>
      <c r="F70" s="19"/>
      <c r="G70" s="40"/>
      <c r="H70" s="40"/>
      <c r="I70" s="40"/>
    </row>
    <row r="71" spans="1:11" ht="26.4" x14ac:dyDescent="0.25">
      <c r="A71" s="34" t="s">
        <v>300</v>
      </c>
      <c r="B71" s="1"/>
      <c r="C71" s="146" t="s">
        <v>246</v>
      </c>
      <c r="D71" s="14" t="s">
        <v>67</v>
      </c>
      <c r="E71" s="19">
        <v>19.100000000000001</v>
      </c>
      <c r="F71" s="19"/>
      <c r="G71" s="40"/>
      <c r="H71" s="40"/>
      <c r="I71" s="40"/>
    </row>
    <row r="72" spans="1:11" ht="27.6" customHeight="1" x14ac:dyDescent="0.25">
      <c r="A72" s="34" t="s">
        <v>301</v>
      </c>
      <c r="B72" s="1"/>
      <c r="C72" s="122" t="s">
        <v>472</v>
      </c>
      <c r="D72" s="14" t="s">
        <v>197</v>
      </c>
      <c r="E72" s="19">
        <v>31.8</v>
      </c>
      <c r="F72" s="19"/>
      <c r="G72" s="40"/>
      <c r="H72" s="40"/>
      <c r="I72" s="40"/>
    </row>
    <row r="73" spans="1:11" ht="27.6" customHeight="1" x14ac:dyDescent="0.25">
      <c r="A73" s="34" t="s">
        <v>302</v>
      </c>
      <c r="B73" s="1"/>
      <c r="C73" s="122" t="s">
        <v>473</v>
      </c>
      <c r="D73" s="14" t="s">
        <v>197</v>
      </c>
      <c r="E73" s="19">
        <v>41.4</v>
      </c>
      <c r="F73" s="19"/>
      <c r="G73" s="40"/>
      <c r="H73" s="40"/>
      <c r="I73" s="40"/>
    </row>
    <row r="74" spans="1:11" ht="39.6" x14ac:dyDescent="0.25">
      <c r="A74" s="34" t="s">
        <v>303</v>
      </c>
      <c r="B74" s="1"/>
      <c r="C74" s="122" t="s">
        <v>474</v>
      </c>
      <c r="D74" s="14" t="s">
        <v>627</v>
      </c>
      <c r="E74" s="19">
        <v>39</v>
      </c>
      <c r="F74" s="19"/>
      <c r="G74" s="40"/>
      <c r="H74" s="40"/>
      <c r="I74" s="40"/>
    </row>
    <row r="75" spans="1:11" ht="29.25" customHeight="1" x14ac:dyDescent="0.25">
      <c r="A75" s="34" t="s">
        <v>584</v>
      </c>
      <c r="B75" s="1"/>
      <c r="C75" s="146" t="s">
        <v>245</v>
      </c>
      <c r="D75" s="14" t="s">
        <v>68</v>
      </c>
      <c r="E75" s="19">
        <v>87.3</v>
      </c>
      <c r="F75" s="19"/>
      <c r="G75" s="40"/>
      <c r="H75" s="40"/>
      <c r="I75" s="40"/>
    </row>
    <row r="76" spans="1:11" ht="38.4" customHeight="1" x14ac:dyDescent="0.25">
      <c r="A76" s="34" t="s">
        <v>585</v>
      </c>
      <c r="B76" s="1"/>
      <c r="C76" s="60" t="s">
        <v>464</v>
      </c>
      <c r="D76" s="14"/>
      <c r="E76" s="63">
        <f>+E77+E78+E79</f>
        <v>28.3</v>
      </c>
      <c r="F76" s="63">
        <f>+F77+F78+F79</f>
        <v>0</v>
      </c>
      <c r="G76" s="40"/>
      <c r="H76" s="40"/>
      <c r="I76" s="40"/>
    </row>
    <row r="77" spans="1:11" ht="26.4" x14ac:dyDescent="0.25">
      <c r="A77" s="34" t="s">
        <v>586</v>
      </c>
      <c r="B77" s="1"/>
      <c r="C77" s="146" t="s">
        <v>200</v>
      </c>
      <c r="D77" s="14" t="s">
        <v>127</v>
      </c>
      <c r="E77" s="19">
        <v>7</v>
      </c>
      <c r="F77" s="19"/>
      <c r="G77" s="40"/>
      <c r="H77" s="40"/>
      <c r="I77" s="40"/>
    </row>
    <row r="78" spans="1:11" ht="26.4" x14ac:dyDescent="0.25">
      <c r="A78" s="34" t="s">
        <v>587</v>
      </c>
      <c r="B78" s="1"/>
      <c r="C78" s="29" t="s">
        <v>190</v>
      </c>
      <c r="D78" s="14" t="s">
        <v>67</v>
      </c>
      <c r="E78" s="19">
        <v>6.3</v>
      </c>
      <c r="F78" s="19"/>
      <c r="G78" s="40"/>
      <c r="H78" s="40"/>
      <c r="I78" s="40"/>
    </row>
    <row r="79" spans="1:11" ht="12.6" customHeight="1" x14ac:dyDescent="0.25">
      <c r="A79" s="34" t="s">
        <v>588</v>
      </c>
      <c r="B79" s="1"/>
      <c r="C79" s="29" t="s">
        <v>445</v>
      </c>
      <c r="D79" s="14" t="s">
        <v>127</v>
      </c>
      <c r="E79" s="19">
        <v>15</v>
      </c>
      <c r="F79" s="19"/>
      <c r="G79" s="40"/>
      <c r="H79" s="40"/>
      <c r="I79" s="40"/>
    </row>
    <row r="80" spans="1:11" ht="21.75" customHeight="1" x14ac:dyDescent="0.25">
      <c r="A80" s="12">
        <v>36</v>
      </c>
      <c r="B80" s="11" t="s">
        <v>21</v>
      </c>
      <c r="C80" s="17" t="s">
        <v>22</v>
      </c>
      <c r="D80" s="9"/>
      <c r="E80" s="57">
        <f>+E81+E84+E85+E86+E87+E88+E106+E107+E108+E109+E110+E111+E112+E113+E114+E115+E116</f>
        <v>8110.7</v>
      </c>
      <c r="F80" s="57">
        <f>+F81+F84+F85+F86+F87+F88+F106+F107+F108+F109+F110+F111+F112+F113+F114+F115+F116</f>
        <v>2989.6999999999994</v>
      </c>
      <c r="G80" s="40"/>
      <c r="H80" s="40"/>
      <c r="I80" s="40"/>
      <c r="K80" s="48"/>
    </row>
    <row r="81" spans="1:11" ht="12.6" customHeight="1" x14ac:dyDescent="0.25">
      <c r="A81" s="165">
        <v>37</v>
      </c>
      <c r="B81" s="166"/>
      <c r="C81" s="24" t="s">
        <v>1</v>
      </c>
      <c r="D81" s="167" t="s">
        <v>69</v>
      </c>
      <c r="E81" s="19">
        <f>1240-53.2</f>
        <v>1186.8</v>
      </c>
      <c r="F81" s="19">
        <f>985.8-52.4</f>
        <v>933.4</v>
      </c>
      <c r="G81" s="40"/>
      <c r="H81" s="40"/>
      <c r="I81" s="40"/>
    </row>
    <row r="82" spans="1:11" ht="12.6" customHeight="1" x14ac:dyDescent="0.25">
      <c r="A82" s="165"/>
      <c r="B82" s="166"/>
      <c r="C82" s="37" t="s">
        <v>463</v>
      </c>
      <c r="D82" s="167"/>
      <c r="E82" s="19">
        <v>186.9</v>
      </c>
      <c r="F82" s="19"/>
      <c r="G82" s="40"/>
      <c r="H82" s="40"/>
      <c r="I82" s="40"/>
    </row>
    <row r="83" spans="1:11" ht="12.6" customHeight="1" x14ac:dyDescent="0.25">
      <c r="A83" s="165"/>
      <c r="B83" s="166"/>
      <c r="C83" s="64" t="s">
        <v>201</v>
      </c>
      <c r="D83" s="167"/>
      <c r="E83" s="19">
        <v>1</v>
      </c>
      <c r="F83" s="19"/>
      <c r="G83" s="40"/>
      <c r="H83" s="40"/>
      <c r="I83" s="40"/>
    </row>
    <row r="84" spans="1:11" ht="12.6" customHeight="1" x14ac:dyDescent="0.25">
      <c r="A84" s="12">
        <v>38</v>
      </c>
      <c r="B84" s="1"/>
      <c r="C84" s="76" t="s">
        <v>2</v>
      </c>
      <c r="D84" s="147" t="s">
        <v>70</v>
      </c>
      <c r="E84" s="19">
        <f>288.7+6.1-2.9</f>
        <v>291.90000000000003</v>
      </c>
      <c r="F84" s="19">
        <f>214.4-2.9</f>
        <v>211.5</v>
      </c>
      <c r="G84" s="40"/>
      <c r="H84" s="40"/>
      <c r="I84" s="40"/>
    </row>
    <row r="85" spans="1:11" ht="12.6" customHeight="1" x14ac:dyDescent="0.25">
      <c r="A85" s="12">
        <v>39</v>
      </c>
      <c r="B85" s="1"/>
      <c r="C85" s="134" t="s">
        <v>15</v>
      </c>
      <c r="D85" s="14" t="s">
        <v>103</v>
      </c>
      <c r="E85" s="19">
        <f>307.3+2.8-11.6</f>
        <v>298.5</v>
      </c>
      <c r="F85" s="36">
        <f>269.7-11.4</f>
        <v>258.3</v>
      </c>
      <c r="G85" s="40"/>
      <c r="H85" s="40"/>
      <c r="I85" s="40"/>
    </row>
    <row r="86" spans="1:11" ht="12.6" customHeight="1" x14ac:dyDescent="0.25">
      <c r="A86" s="12">
        <v>40</v>
      </c>
      <c r="B86" s="1"/>
      <c r="C86" s="134" t="s">
        <v>19</v>
      </c>
      <c r="D86" s="23" t="s">
        <v>70</v>
      </c>
      <c r="E86" s="19">
        <f>322.1+4.3-8.2</f>
        <v>318.20000000000005</v>
      </c>
      <c r="F86" s="19">
        <f>270.4-8.1</f>
        <v>262.29999999999995</v>
      </c>
      <c r="G86" s="40"/>
      <c r="H86" s="40"/>
      <c r="I86" s="40"/>
      <c r="K86" s="40"/>
    </row>
    <row r="87" spans="1:11" ht="12.6" customHeight="1" x14ac:dyDescent="0.25">
      <c r="A87" s="12">
        <v>41</v>
      </c>
      <c r="B87" s="1"/>
      <c r="C87" s="24" t="s">
        <v>153</v>
      </c>
      <c r="D87" s="147" t="s">
        <v>23</v>
      </c>
      <c r="E87" s="19">
        <f>1291.2+9.2-46.3</f>
        <v>1254.1000000000001</v>
      </c>
      <c r="F87" s="19">
        <f>1014.1-45.6</f>
        <v>968.5</v>
      </c>
      <c r="G87" s="40"/>
      <c r="H87" s="40"/>
      <c r="I87" s="40"/>
    </row>
    <row r="88" spans="1:11" ht="12.6" customHeight="1" x14ac:dyDescent="0.25">
      <c r="A88" s="12">
        <v>42</v>
      </c>
      <c r="B88" s="1"/>
      <c r="C88" s="16" t="s">
        <v>184</v>
      </c>
      <c r="D88" s="1"/>
      <c r="E88" s="144">
        <f>+E89+E90+E91+E93+E94+E95+E96+E92+E97+E98+E101+E99+E100</f>
        <v>2523.5</v>
      </c>
      <c r="F88" s="144">
        <f>+F89+F90+F91+F93+F94+F95+F96+F92+F97+F98+F101+F99</f>
        <v>70</v>
      </c>
      <c r="G88" s="40"/>
      <c r="H88" s="40"/>
      <c r="I88" s="40"/>
    </row>
    <row r="89" spans="1:11" ht="52.8" x14ac:dyDescent="0.25">
      <c r="A89" s="34" t="s">
        <v>304</v>
      </c>
      <c r="B89" s="1"/>
      <c r="C89" s="16" t="s">
        <v>3</v>
      </c>
      <c r="D89" s="23" t="s">
        <v>144</v>
      </c>
      <c r="E89" s="19">
        <f>1173.2-53.6</f>
        <v>1119.6000000000001</v>
      </c>
      <c r="F89" s="19">
        <v>70</v>
      </c>
      <c r="G89" s="40"/>
      <c r="H89" s="40"/>
      <c r="I89" s="40"/>
    </row>
    <row r="90" spans="1:11" ht="27.6" customHeight="1" x14ac:dyDescent="0.25">
      <c r="A90" s="34" t="s">
        <v>305</v>
      </c>
      <c r="B90" s="1"/>
      <c r="C90" s="35" t="s">
        <v>475</v>
      </c>
      <c r="D90" s="148" t="s">
        <v>71</v>
      </c>
      <c r="E90" s="19">
        <v>50</v>
      </c>
      <c r="F90" s="19"/>
      <c r="G90" s="40"/>
      <c r="H90" s="40"/>
      <c r="I90" s="40"/>
    </row>
    <row r="91" spans="1:11" ht="26.25" customHeight="1" x14ac:dyDescent="0.25">
      <c r="A91" s="34" t="s">
        <v>306</v>
      </c>
      <c r="B91" s="1"/>
      <c r="C91" s="146" t="s">
        <v>476</v>
      </c>
      <c r="D91" s="148" t="s">
        <v>71</v>
      </c>
      <c r="E91" s="19">
        <v>150</v>
      </c>
      <c r="F91" s="19"/>
      <c r="G91" s="40"/>
      <c r="H91" s="40"/>
      <c r="I91" s="40"/>
    </row>
    <row r="92" spans="1:11" ht="28.5" customHeight="1" x14ac:dyDescent="0.25">
      <c r="A92" s="34" t="s">
        <v>307</v>
      </c>
      <c r="B92" s="1"/>
      <c r="C92" s="62" t="s">
        <v>477</v>
      </c>
      <c r="D92" s="1" t="s">
        <v>107</v>
      </c>
      <c r="E92" s="36">
        <v>16</v>
      </c>
      <c r="F92" s="36"/>
      <c r="G92" s="40"/>
      <c r="H92" s="40"/>
      <c r="I92" s="40"/>
    </row>
    <row r="93" spans="1:11" ht="12.6" customHeight="1" x14ac:dyDescent="0.25">
      <c r="A93" s="34" t="s">
        <v>308</v>
      </c>
      <c r="B93" s="1"/>
      <c r="C93" s="62" t="s">
        <v>478</v>
      </c>
      <c r="D93" s="147" t="s">
        <v>72</v>
      </c>
      <c r="E93" s="19">
        <f>80+25</f>
        <v>105</v>
      </c>
      <c r="F93" s="19"/>
      <c r="G93" s="40"/>
      <c r="H93" s="40"/>
      <c r="I93" s="40"/>
    </row>
    <row r="94" spans="1:11" ht="26.25" customHeight="1" x14ac:dyDescent="0.25">
      <c r="A94" s="34" t="s">
        <v>309</v>
      </c>
      <c r="B94" s="1"/>
      <c r="C94" s="62" t="s">
        <v>479</v>
      </c>
      <c r="D94" s="148" t="s">
        <v>72</v>
      </c>
      <c r="E94" s="19">
        <f>97+34-10-5</f>
        <v>116</v>
      </c>
      <c r="F94" s="19"/>
      <c r="G94" s="40"/>
      <c r="H94" s="40"/>
      <c r="I94" s="40"/>
    </row>
    <row r="95" spans="1:11" ht="39" customHeight="1" x14ac:dyDescent="0.25">
      <c r="A95" s="34" t="s">
        <v>310</v>
      </c>
      <c r="B95" s="1"/>
      <c r="C95" s="62" t="s">
        <v>480</v>
      </c>
      <c r="D95" s="148" t="s">
        <v>73</v>
      </c>
      <c r="E95" s="36">
        <v>376</v>
      </c>
      <c r="F95" s="36"/>
      <c r="G95" s="40"/>
      <c r="H95" s="40"/>
      <c r="I95" s="40"/>
    </row>
    <row r="96" spans="1:11" ht="26.4" x14ac:dyDescent="0.25">
      <c r="A96" s="34" t="s">
        <v>311</v>
      </c>
      <c r="B96" s="1"/>
      <c r="C96" s="62" t="s">
        <v>256</v>
      </c>
      <c r="D96" s="1" t="s">
        <v>74</v>
      </c>
      <c r="E96" s="36">
        <v>60</v>
      </c>
      <c r="F96" s="36"/>
      <c r="G96" s="40"/>
      <c r="H96" s="40"/>
      <c r="I96" s="40"/>
    </row>
    <row r="97" spans="1:9" ht="26.4" x14ac:dyDescent="0.25">
      <c r="A97" s="34" t="s">
        <v>312</v>
      </c>
      <c r="B97" s="1"/>
      <c r="C97" s="62" t="s">
        <v>254</v>
      </c>
      <c r="D97" s="1" t="s">
        <v>24</v>
      </c>
      <c r="E97" s="36">
        <v>7</v>
      </c>
      <c r="F97" s="36"/>
      <c r="G97" s="40"/>
      <c r="H97" s="40"/>
      <c r="I97" s="40"/>
    </row>
    <row r="98" spans="1:9" x14ac:dyDescent="0.25">
      <c r="A98" s="34" t="s">
        <v>313</v>
      </c>
      <c r="B98" s="1"/>
      <c r="C98" s="62" t="s">
        <v>211</v>
      </c>
      <c r="D98" s="147" t="s">
        <v>23</v>
      </c>
      <c r="E98" s="36">
        <v>75.2</v>
      </c>
      <c r="F98" s="36"/>
      <c r="G98" s="40"/>
      <c r="H98" s="40"/>
      <c r="I98" s="40"/>
    </row>
    <row r="99" spans="1:9" ht="26.4" x14ac:dyDescent="0.25">
      <c r="A99" s="34" t="s">
        <v>314</v>
      </c>
      <c r="B99" s="1"/>
      <c r="C99" s="62" t="s">
        <v>255</v>
      </c>
      <c r="D99" s="147" t="s">
        <v>23</v>
      </c>
      <c r="E99" s="36">
        <v>30</v>
      </c>
      <c r="F99" s="36"/>
      <c r="G99" s="40"/>
      <c r="H99" s="40"/>
      <c r="I99" s="40"/>
    </row>
    <row r="100" spans="1:9" ht="26.4" x14ac:dyDescent="0.25">
      <c r="A100" s="34" t="s">
        <v>315</v>
      </c>
      <c r="B100" s="1"/>
      <c r="C100" s="62" t="s">
        <v>568</v>
      </c>
      <c r="D100" s="147" t="s">
        <v>31</v>
      </c>
      <c r="E100" s="36">
        <v>13.5</v>
      </c>
      <c r="F100" s="36"/>
      <c r="G100" s="40"/>
      <c r="H100" s="40"/>
      <c r="I100" s="40"/>
    </row>
    <row r="101" spans="1:9" ht="39" customHeight="1" x14ac:dyDescent="0.25">
      <c r="A101" s="34" t="s">
        <v>589</v>
      </c>
      <c r="B101" s="1"/>
      <c r="C101" s="60" t="s">
        <v>464</v>
      </c>
      <c r="D101" s="11"/>
      <c r="E101" s="61">
        <f>SUM(E102:E105)</f>
        <v>405.2</v>
      </c>
      <c r="F101" s="61">
        <f>SUM(F102:F105)</f>
        <v>0</v>
      </c>
      <c r="G101" s="40"/>
      <c r="H101" s="40"/>
      <c r="I101" s="40"/>
    </row>
    <row r="102" spans="1:9" ht="12.6" customHeight="1" x14ac:dyDescent="0.25">
      <c r="A102" s="34" t="s">
        <v>590</v>
      </c>
      <c r="B102" s="1"/>
      <c r="C102" s="62" t="s">
        <v>157</v>
      </c>
      <c r="D102" s="1" t="s">
        <v>87</v>
      </c>
      <c r="E102" s="36">
        <f>15.2+150</f>
        <v>165.2</v>
      </c>
      <c r="F102" s="36"/>
      <c r="G102" s="40"/>
      <c r="H102" s="40"/>
      <c r="I102" s="40"/>
    </row>
    <row r="103" spans="1:9" ht="26.4" x14ac:dyDescent="0.25">
      <c r="A103" s="34" t="s">
        <v>591</v>
      </c>
      <c r="B103" s="1"/>
      <c r="C103" s="62" t="s">
        <v>481</v>
      </c>
      <c r="D103" s="14" t="s">
        <v>198</v>
      </c>
      <c r="E103" s="36">
        <v>200</v>
      </c>
      <c r="F103" s="36"/>
      <c r="G103" s="40"/>
      <c r="H103" s="40"/>
      <c r="I103" s="40"/>
    </row>
    <row r="104" spans="1:9" ht="12.6" customHeight="1" x14ac:dyDescent="0.25">
      <c r="A104" s="34" t="s">
        <v>592</v>
      </c>
      <c r="B104" s="1"/>
      <c r="C104" s="62" t="s">
        <v>212</v>
      </c>
      <c r="D104" s="1" t="s">
        <v>74</v>
      </c>
      <c r="E104" s="36">
        <v>30</v>
      </c>
      <c r="F104" s="36"/>
      <c r="G104" s="40"/>
      <c r="H104" s="40"/>
      <c r="I104" s="40"/>
    </row>
    <row r="105" spans="1:9" ht="29.4" customHeight="1" x14ac:dyDescent="0.25">
      <c r="A105" s="34" t="s">
        <v>593</v>
      </c>
      <c r="B105" s="1"/>
      <c r="C105" s="29" t="s">
        <v>261</v>
      </c>
      <c r="D105" s="1" t="s">
        <v>23</v>
      </c>
      <c r="E105" s="36">
        <v>10</v>
      </c>
      <c r="F105" s="36"/>
      <c r="G105" s="40"/>
      <c r="H105" s="40"/>
      <c r="I105" s="40"/>
    </row>
    <row r="106" spans="1:9" ht="38.4" customHeight="1" x14ac:dyDescent="0.25">
      <c r="A106" s="12">
        <v>43</v>
      </c>
      <c r="B106" s="1"/>
      <c r="C106" s="15" t="s">
        <v>8</v>
      </c>
      <c r="D106" s="14" t="s">
        <v>114</v>
      </c>
      <c r="E106" s="19">
        <f>991.7-2.1</f>
        <v>989.6</v>
      </c>
      <c r="F106" s="19">
        <f>98.2-2.1</f>
        <v>96.100000000000009</v>
      </c>
      <c r="G106" s="40"/>
      <c r="H106" s="40"/>
      <c r="I106" s="40"/>
    </row>
    <row r="107" spans="1:9" ht="38.25" customHeight="1" x14ac:dyDescent="0.25">
      <c r="A107" s="12">
        <v>44</v>
      </c>
      <c r="B107" s="1"/>
      <c r="C107" s="15" t="s">
        <v>4</v>
      </c>
      <c r="D107" s="14" t="s">
        <v>139</v>
      </c>
      <c r="E107" s="19">
        <f>258.3-2</f>
        <v>256.3</v>
      </c>
      <c r="F107" s="19">
        <f>31.8-2</f>
        <v>29.8</v>
      </c>
      <c r="G107" s="40"/>
      <c r="H107" s="40"/>
      <c r="I107" s="40"/>
    </row>
    <row r="108" spans="1:9" ht="39.75" customHeight="1" x14ac:dyDescent="0.25">
      <c r="A108" s="12">
        <v>45</v>
      </c>
      <c r="B108" s="1"/>
      <c r="C108" s="15" t="s">
        <v>5</v>
      </c>
      <c r="D108" s="14" t="s">
        <v>114</v>
      </c>
      <c r="E108" s="19">
        <f>131.6+0.5-0.9</f>
        <v>131.19999999999999</v>
      </c>
      <c r="F108" s="19">
        <f>15.3-0.9</f>
        <v>14.4</v>
      </c>
      <c r="G108" s="40"/>
      <c r="H108" s="40"/>
      <c r="I108" s="40"/>
    </row>
    <row r="109" spans="1:9" ht="39.75" customHeight="1" x14ac:dyDescent="0.25">
      <c r="A109" s="12">
        <v>46</v>
      </c>
      <c r="B109" s="1"/>
      <c r="C109" s="15" t="s">
        <v>7</v>
      </c>
      <c r="D109" s="14" t="s">
        <v>114</v>
      </c>
      <c r="E109" s="19">
        <f>86.5-0.9</f>
        <v>85.6</v>
      </c>
      <c r="F109" s="19">
        <f>18.1-0.9</f>
        <v>17.200000000000003</v>
      </c>
      <c r="G109" s="40"/>
      <c r="H109" s="40"/>
      <c r="I109" s="40"/>
    </row>
    <row r="110" spans="1:9" ht="39.75" customHeight="1" x14ac:dyDescent="0.25">
      <c r="A110" s="12">
        <v>47</v>
      </c>
      <c r="B110" s="1"/>
      <c r="C110" s="15" t="s">
        <v>6</v>
      </c>
      <c r="D110" s="14" t="s">
        <v>114</v>
      </c>
      <c r="E110" s="19">
        <f>139.9-1.4</f>
        <v>138.5</v>
      </c>
      <c r="F110" s="19">
        <f>29.4-1.4</f>
        <v>28</v>
      </c>
      <c r="G110" s="40"/>
      <c r="H110" s="40"/>
      <c r="I110" s="40"/>
    </row>
    <row r="111" spans="1:9" ht="39.75" customHeight="1" x14ac:dyDescent="0.25">
      <c r="A111" s="12">
        <v>48</v>
      </c>
      <c r="B111" s="1"/>
      <c r="C111" s="15" t="s">
        <v>9</v>
      </c>
      <c r="D111" s="14" t="s">
        <v>114</v>
      </c>
      <c r="E111" s="19">
        <f>132.7-0.9</f>
        <v>131.79999999999998</v>
      </c>
      <c r="F111" s="19">
        <f>15.4-0.9</f>
        <v>14.5</v>
      </c>
      <c r="G111" s="40"/>
      <c r="H111" s="40"/>
      <c r="I111" s="40"/>
    </row>
    <row r="112" spans="1:9" ht="39.75" customHeight="1" x14ac:dyDescent="0.25">
      <c r="A112" s="12">
        <v>49</v>
      </c>
      <c r="B112" s="1"/>
      <c r="C112" s="16" t="s">
        <v>10</v>
      </c>
      <c r="D112" s="14" t="s">
        <v>114</v>
      </c>
      <c r="E112" s="19">
        <f>98.5+0.3-0.9</f>
        <v>97.899999999999991</v>
      </c>
      <c r="F112" s="19">
        <f>16.1-0.9</f>
        <v>15.200000000000001</v>
      </c>
      <c r="G112" s="40"/>
      <c r="H112" s="40"/>
      <c r="I112" s="40"/>
    </row>
    <row r="113" spans="1:11" ht="39.6" customHeight="1" x14ac:dyDescent="0.25">
      <c r="A113" s="12">
        <v>50</v>
      </c>
      <c r="B113" s="1"/>
      <c r="C113" s="15" t="s">
        <v>12</v>
      </c>
      <c r="D113" s="14" t="s">
        <v>114</v>
      </c>
      <c r="E113" s="19">
        <f>129.9-0.9</f>
        <v>129</v>
      </c>
      <c r="F113" s="19">
        <f>15.6-0.9</f>
        <v>14.7</v>
      </c>
      <c r="G113" s="40"/>
      <c r="H113" s="40"/>
      <c r="I113" s="40"/>
    </row>
    <row r="114" spans="1:11" ht="39.6" x14ac:dyDescent="0.25">
      <c r="A114" s="12">
        <v>51</v>
      </c>
      <c r="B114" s="1"/>
      <c r="C114" s="15" t="s">
        <v>11</v>
      </c>
      <c r="D114" s="14" t="s">
        <v>114</v>
      </c>
      <c r="E114" s="19">
        <f>123.6-0.9</f>
        <v>122.69999999999999</v>
      </c>
      <c r="F114" s="19">
        <f>20.6-0.9</f>
        <v>19.700000000000003</v>
      </c>
      <c r="G114" s="40"/>
      <c r="H114" s="40"/>
      <c r="I114" s="40"/>
    </row>
    <row r="115" spans="1:11" ht="39.75" customHeight="1" x14ac:dyDescent="0.25">
      <c r="A115" s="12">
        <v>52</v>
      </c>
      <c r="B115" s="1"/>
      <c r="C115" s="15" t="s">
        <v>13</v>
      </c>
      <c r="D115" s="14" t="s">
        <v>114</v>
      </c>
      <c r="E115" s="19">
        <f>78.8-0.9</f>
        <v>77.899999999999991</v>
      </c>
      <c r="F115" s="19">
        <f>14.8-0.9</f>
        <v>13.9</v>
      </c>
      <c r="G115" s="40"/>
      <c r="H115" s="40"/>
      <c r="I115" s="40"/>
    </row>
    <row r="116" spans="1:11" ht="39.75" customHeight="1" x14ac:dyDescent="0.25">
      <c r="A116" s="12">
        <v>53</v>
      </c>
      <c r="B116" s="1"/>
      <c r="C116" s="15" t="s">
        <v>14</v>
      </c>
      <c r="D116" s="14" t="s">
        <v>114</v>
      </c>
      <c r="E116" s="19">
        <f>78.6-1.4</f>
        <v>77.199999999999989</v>
      </c>
      <c r="F116" s="19">
        <f>23.6-1.4</f>
        <v>22.200000000000003</v>
      </c>
      <c r="G116" s="40"/>
      <c r="H116" s="40"/>
      <c r="I116" s="40"/>
    </row>
    <row r="117" spans="1:11" ht="20.100000000000001" customHeight="1" x14ac:dyDescent="0.25">
      <c r="A117" s="12">
        <v>54</v>
      </c>
      <c r="B117" s="11" t="s">
        <v>75</v>
      </c>
      <c r="C117" s="17" t="s">
        <v>222</v>
      </c>
      <c r="D117" s="1"/>
      <c r="E117" s="57">
        <f>+E119+E133+E134+E135+E136+E137+E138+E139+E140+E141+E142+E118</f>
        <v>1645.8000000000002</v>
      </c>
      <c r="F117" s="57">
        <f>+F119+F133+F134+F135+F136+F137+F138+F139+F140+F141+F142+F118</f>
        <v>631.20000000000005</v>
      </c>
      <c r="G117" s="40"/>
      <c r="H117" s="40"/>
      <c r="I117" s="40"/>
      <c r="K117" s="48"/>
    </row>
    <row r="118" spans="1:11" ht="12.6" customHeight="1" x14ac:dyDescent="0.25">
      <c r="A118" s="12">
        <v>55</v>
      </c>
      <c r="B118" s="1"/>
      <c r="C118" s="24" t="s">
        <v>112</v>
      </c>
      <c r="D118" s="1" t="s">
        <v>76</v>
      </c>
      <c r="E118" s="19">
        <v>942</v>
      </c>
      <c r="F118" s="19">
        <v>553.1</v>
      </c>
      <c r="G118" s="40"/>
      <c r="H118" s="40"/>
      <c r="I118" s="40"/>
    </row>
    <row r="119" spans="1:11" ht="12.6" customHeight="1" x14ac:dyDescent="0.25">
      <c r="A119" s="12">
        <v>56</v>
      </c>
      <c r="B119" s="11"/>
      <c r="C119" s="16" t="s">
        <v>184</v>
      </c>
      <c r="D119" s="1"/>
      <c r="E119" s="19">
        <f>+E120+E121+E126+E129+E127+E128</f>
        <v>673.3</v>
      </c>
      <c r="F119" s="19">
        <f>+F120+F121+F126+F129+F127+F128</f>
        <v>48.4</v>
      </c>
      <c r="G119" s="40"/>
      <c r="H119" s="40"/>
      <c r="I119" s="40"/>
    </row>
    <row r="120" spans="1:11" ht="12.6" customHeight="1" x14ac:dyDescent="0.25">
      <c r="A120" s="34" t="s">
        <v>180</v>
      </c>
      <c r="B120" s="1"/>
      <c r="C120" s="16" t="s">
        <v>3</v>
      </c>
      <c r="D120" s="1" t="s">
        <v>132</v>
      </c>
      <c r="E120" s="19">
        <v>108</v>
      </c>
      <c r="F120" s="19">
        <v>48.4</v>
      </c>
      <c r="G120" s="40"/>
      <c r="H120" s="40"/>
      <c r="I120" s="40"/>
    </row>
    <row r="121" spans="1:11" ht="12.6" customHeight="1" x14ac:dyDescent="0.25">
      <c r="A121" s="178" t="s">
        <v>181</v>
      </c>
      <c r="B121" s="166"/>
      <c r="C121" s="146" t="s">
        <v>213</v>
      </c>
      <c r="D121" s="166" t="s">
        <v>76</v>
      </c>
      <c r="E121" s="19">
        <f>+E122+E123+E124+E125</f>
        <v>415</v>
      </c>
      <c r="F121" s="19">
        <f>+F122+F123+F124+F125</f>
        <v>0</v>
      </c>
      <c r="G121" s="40"/>
      <c r="H121" s="40"/>
      <c r="I121" s="40"/>
    </row>
    <row r="122" spans="1:11" ht="26.4" x14ac:dyDescent="0.25">
      <c r="A122" s="178"/>
      <c r="B122" s="166"/>
      <c r="C122" s="123" t="s">
        <v>482</v>
      </c>
      <c r="D122" s="166"/>
      <c r="E122" s="19">
        <v>200</v>
      </c>
      <c r="F122" s="19"/>
      <c r="G122" s="40"/>
      <c r="H122" s="40"/>
      <c r="I122" s="40"/>
    </row>
    <row r="123" spans="1:11" ht="12.6" customHeight="1" x14ac:dyDescent="0.25">
      <c r="A123" s="178"/>
      <c r="B123" s="166"/>
      <c r="C123" s="123" t="s">
        <v>483</v>
      </c>
      <c r="D123" s="166"/>
      <c r="E123" s="19">
        <v>100</v>
      </c>
      <c r="F123" s="19"/>
      <c r="G123" s="40"/>
      <c r="H123" s="40"/>
      <c r="I123" s="40"/>
    </row>
    <row r="124" spans="1:11" ht="12.6" customHeight="1" x14ac:dyDescent="0.25">
      <c r="A124" s="178"/>
      <c r="B124" s="166"/>
      <c r="C124" s="123" t="s">
        <v>228</v>
      </c>
      <c r="D124" s="166"/>
      <c r="E124" s="19">
        <v>15</v>
      </c>
      <c r="F124" s="19"/>
      <c r="G124" s="40"/>
      <c r="H124" s="40"/>
      <c r="I124" s="40"/>
    </row>
    <row r="125" spans="1:11" ht="26.4" x14ac:dyDescent="0.25">
      <c r="A125" s="178"/>
      <c r="B125" s="166"/>
      <c r="C125" s="123" t="s">
        <v>484</v>
      </c>
      <c r="D125" s="166"/>
      <c r="E125" s="19">
        <v>100</v>
      </c>
      <c r="F125" s="19"/>
      <c r="G125" s="40"/>
      <c r="H125" s="40"/>
      <c r="I125" s="40"/>
    </row>
    <row r="126" spans="1:11" ht="12.6" customHeight="1" x14ac:dyDescent="0.25">
      <c r="A126" s="34" t="s">
        <v>182</v>
      </c>
      <c r="B126" s="1"/>
      <c r="C126" s="146" t="s">
        <v>214</v>
      </c>
      <c r="D126" s="1" t="s">
        <v>76</v>
      </c>
      <c r="E126" s="19">
        <v>55</v>
      </c>
      <c r="F126" s="19"/>
      <c r="G126" s="40"/>
      <c r="H126" s="40"/>
      <c r="I126" s="40"/>
    </row>
    <row r="127" spans="1:11" ht="26.4" x14ac:dyDescent="0.25">
      <c r="A127" s="34" t="s">
        <v>316</v>
      </c>
      <c r="B127" s="1"/>
      <c r="C127" s="146" t="s">
        <v>257</v>
      </c>
      <c r="D127" s="1" t="s">
        <v>76</v>
      </c>
      <c r="E127" s="19">
        <v>10.3</v>
      </c>
      <c r="F127" s="19"/>
      <c r="G127" s="40"/>
      <c r="H127" s="40"/>
      <c r="I127" s="40"/>
    </row>
    <row r="128" spans="1:11" ht="26.4" x14ac:dyDescent="0.25">
      <c r="A128" s="34" t="s">
        <v>183</v>
      </c>
      <c r="B128" s="1"/>
      <c r="C128" s="146" t="s">
        <v>672</v>
      </c>
      <c r="D128" s="1" t="s">
        <v>673</v>
      </c>
      <c r="E128" s="19">
        <v>10</v>
      </c>
      <c r="F128" s="19"/>
      <c r="G128" s="40"/>
      <c r="H128" s="40"/>
      <c r="I128" s="40"/>
    </row>
    <row r="129" spans="1:13" ht="42" customHeight="1" x14ac:dyDescent="0.25">
      <c r="A129" s="34" t="s">
        <v>679</v>
      </c>
      <c r="B129" s="1"/>
      <c r="C129" s="60" t="s">
        <v>464</v>
      </c>
      <c r="D129" s="11"/>
      <c r="E129" s="63">
        <f>+E130+E131+E132</f>
        <v>75</v>
      </c>
      <c r="F129" s="63">
        <f>+F130+F131+F132</f>
        <v>0</v>
      </c>
      <c r="G129" s="40"/>
      <c r="H129" s="40"/>
      <c r="I129" s="40"/>
    </row>
    <row r="130" spans="1:13" ht="12.6" customHeight="1" x14ac:dyDescent="0.25">
      <c r="A130" s="34" t="s">
        <v>680</v>
      </c>
      <c r="B130" s="1"/>
      <c r="C130" s="15" t="s">
        <v>485</v>
      </c>
      <c r="D130" s="1" t="s">
        <v>60</v>
      </c>
      <c r="E130" s="19">
        <v>15</v>
      </c>
      <c r="F130" s="19"/>
      <c r="G130" s="40"/>
      <c r="H130" s="40"/>
      <c r="I130" s="40"/>
    </row>
    <row r="131" spans="1:13" ht="26.4" x14ac:dyDescent="0.25">
      <c r="A131" s="34" t="s">
        <v>681</v>
      </c>
      <c r="B131" s="1"/>
      <c r="C131" s="15" t="s">
        <v>486</v>
      </c>
      <c r="D131" s="33" t="s">
        <v>76</v>
      </c>
      <c r="E131" s="19">
        <f>15+15</f>
        <v>30</v>
      </c>
      <c r="F131" s="19"/>
      <c r="G131" s="40"/>
      <c r="H131" s="40"/>
      <c r="I131" s="40"/>
    </row>
    <row r="132" spans="1:13" ht="39.6" x14ac:dyDescent="0.25">
      <c r="A132" s="34" t="s">
        <v>682</v>
      </c>
      <c r="B132" s="1"/>
      <c r="C132" s="15" t="s">
        <v>262</v>
      </c>
      <c r="D132" s="1" t="s">
        <v>76</v>
      </c>
      <c r="E132" s="19">
        <v>30</v>
      </c>
      <c r="F132" s="19"/>
      <c r="G132" s="40"/>
      <c r="H132" s="40"/>
      <c r="I132" s="40"/>
    </row>
    <row r="133" spans="1:13" x14ac:dyDescent="0.25">
      <c r="A133" s="12">
        <v>57</v>
      </c>
      <c r="B133" s="1"/>
      <c r="C133" s="15" t="s">
        <v>4</v>
      </c>
      <c r="D133" s="1" t="s">
        <v>76</v>
      </c>
      <c r="E133" s="19">
        <v>3</v>
      </c>
      <c r="F133" s="19">
        <v>2.9</v>
      </c>
      <c r="G133" s="40"/>
      <c r="H133" s="40"/>
      <c r="I133" s="40"/>
    </row>
    <row r="134" spans="1:13" ht="12.6" customHeight="1" x14ac:dyDescent="0.25">
      <c r="A134" s="12">
        <v>58</v>
      </c>
      <c r="B134" s="1"/>
      <c r="C134" s="15" t="s">
        <v>5</v>
      </c>
      <c r="D134" s="1" t="s">
        <v>76</v>
      </c>
      <c r="E134" s="19">
        <v>3.1</v>
      </c>
      <c r="F134" s="19">
        <v>3</v>
      </c>
      <c r="G134" s="40"/>
      <c r="H134" s="40"/>
      <c r="I134" s="40"/>
    </row>
    <row r="135" spans="1:13" ht="12.6" customHeight="1" x14ac:dyDescent="0.25">
      <c r="A135" s="12">
        <v>59</v>
      </c>
      <c r="B135" s="1"/>
      <c r="C135" s="16" t="s">
        <v>7</v>
      </c>
      <c r="D135" s="1" t="s">
        <v>76</v>
      </c>
      <c r="E135" s="19">
        <v>3.1</v>
      </c>
      <c r="F135" s="19">
        <v>3</v>
      </c>
      <c r="G135" s="40"/>
      <c r="H135" s="40"/>
      <c r="I135" s="40"/>
    </row>
    <row r="136" spans="1:13" ht="12.6" customHeight="1" x14ac:dyDescent="0.25">
      <c r="A136" s="12">
        <v>60</v>
      </c>
      <c r="B136" s="1"/>
      <c r="C136" s="15" t="s">
        <v>6</v>
      </c>
      <c r="D136" s="1" t="s">
        <v>76</v>
      </c>
      <c r="E136" s="19">
        <v>3.1</v>
      </c>
      <c r="F136" s="19">
        <v>3</v>
      </c>
      <c r="G136" s="40"/>
      <c r="H136" s="40"/>
      <c r="I136" s="40"/>
    </row>
    <row r="137" spans="1:13" ht="12.6" customHeight="1" x14ac:dyDescent="0.25">
      <c r="A137" s="12">
        <v>61</v>
      </c>
      <c r="B137" s="1"/>
      <c r="C137" s="15" t="s">
        <v>9</v>
      </c>
      <c r="D137" s="1" t="s">
        <v>76</v>
      </c>
      <c r="E137" s="19">
        <v>3.4</v>
      </c>
      <c r="F137" s="19">
        <v>3.3</v>
      </c>
      <c r="G137" s="40"/>
      <c r="H137" s="40"/>
      <c r="I137" s="40"/>
    </row>
    <row r="138" spans="1:13" ht="12.6" customHeight="1" x14ac:dyDescent="0.25">
      <c r="A138" s="12">
        <v>62</v>
      </c>
      <c r="B138" s="1"/>
      <c r="C138" s="16" t="s">
        <v>10</v>
      </c>
      <c r="D138" s="1" t="s">
        <v>76</v>
      </c>
      <c r="E138" s="19">
        <v>3</v>
      </c>
      <c r="F138" s="19">
        <v>2.9</v>
      </c>
      <c r="G138" s="40"/>
      <c r="H138" s="40"/>
      <c r="I138" s="40"/>
    </row>
    <row r="139" spans="1:13" ht="12.6" customHeight="1" x14ac:dyDescent="0.25">
      <c r="A139" s="12">
        <v>63</v>
      </c>
      <c r="B139" s="1"/>
      <c r="C139" s="15" t="s">
        <v>12</v>
      </c>
      <c r="D139" s="1" t="s">
        <v>76</v>
      </c>
      <c r="E139" s="19">
        <v>3.2</v>
      </c>
      <c r="F139" s="19">
        <v>3.1</v>
      </c>
      <c r="G139" s="40"/>
      <c r="H139" s="40"/>
      <c r="I139" s="40"/>
    </row>
    <row r="140" spans="1:13" ht="12.6" customHeight="1" x14ac:dyDescent="0.25">
      <c r="A140" s="12">
        <v>64</v>
      </c>
      <c r="B140" s="1"/>
      <c r="C140" s="15" t="s">
        <v>11</v>
      </c>
      <c r="D140" s="1" t="s">
        <v>76</v>
      </c>
      <c r="E140" s="19">
        <v>3</v>
      </c>
      <c r="F140" s="19">
        <v>3</v>
      </c>
      <c r="G140" s="40"/>
      <c r="H140" s="40"/>
      <c r="I140" s="40"/>
    </row>
    <row r="141" spans="1:13" ht="12.6" customHeight="1" x14ac:dyDescent="0.25">
      <c r="A141" s="12">
        <v>65</v>
      </c>
      <c r="B141" s="1"/>
      <c r="C141" s="15" t="s">
        <v>13</v>
      </c>
      <c r="D141" s="1" t="s">
        <v>76</v>
      </c>
      <c r="E141" s="19">
        <v>3</v>
      </c>
      <c r="F141" s="19">
        <v>2.9</v>
      </c>
      <c r="G141" s="40"/>
      <c r="H141" s="40"/>
      <c r="I141" s="40"/>
    </row>
    <row r="142" spans="1:13" ht="12.6" customHeight="1" x14ac:dyDescent="0.25">
      <c r="A142" s="12">
        <v>66</v>
      </c>
      <c r="B142" s="1"/>
      <c r="C142" s="15" t="s">
        <v>14</v>
      </c>
      <c r="D142" s="1" t="s">
        <v>76</v>
      </c>
      <c r="E142" s="19">
        <v>2.6</v>
      </c>
      <c r="F142" s="19">
        <v>2.6</v>
      </c>
      <c r="G142" s="40"/>
      <c r="H142" s="40"/>
      <c r="I142" s="40"/>
    </row>
    <row r="143" spans="1:13" ht="24.75" customHeight="1" x14ac:dyDescent="0.25">
      <c r="A143" s="12">
        <v>67</v>
      </c>
      <c r="B143" s="11" t="s">
        <v>77</v>
      </c>
      <c r="C143" s="17" t="s">
        <v>78</v>
      </c>
      <c r="D143" s="9"/>
      <c r="E143" s="57">
        <f>+E144+E145+E146+E147+E148+E149+E150+E151+E154+E166</f>
        <v>4269.2999999999993</v>
      </c>
      <c r="F143" s="57">
        <f>+F144+F145+F146+F147+F148+F149+F150+F151+F154+F166</f>
        <v>2619.6000000000004</v>
      </c>
      <c r="G143" s="40"/>
      <c r="H143" s="40"/>
      <c r="I143" s="40"/>
      <c r="J143" s="138"/>
      <c r="K143" s="48"/>
      <c r="M143" s="48"/>
    </row>
    <row r="144" spans="1:13" ht="12.6" customHeight="1" x14ac:dyDescent="0.25">
      <c r="A144" s="12">
        <v>68</v>
      </c>
      <c r="B144" s="1"/>
      <c r="C144" s="24" t="s">
        <v>42</v>
      </c>
      <c r="D144" s="1" t="s">
        <v>79</v>
      </c>
      <c r="E144" s="19">
        <f>810.3+1.4-5</f>
        <v>806.69999999999993</v>
      </c>
      <c r="F144" s="19">
        <v>578.9</v>
      </c>
      <c r="G144" s="40"/>
      <c r="H144" s="40"/>
      <c r="I144" s="40"/>
      <c r="J144" s="139"/>
      <c r="K144" s="48"/>
    </row>
    <row r="145" spans="1:11" ht="12.6" customHeight="1" x14ac:dyDescent="0.25">
      <c r="A145" s="12">
        <v>69</v>
      </c>
      <c r="B145" s="1"/>
      <c r="C145" s="76" t="s">
        <v>47</v>
      </c>
      <c r="D145" s="1" t="s">
        <v>79</v>
      </c>
      <c r="E145" s="19">
        <f>247.1+1.9</f>
        <v>249</v>
      </c>
      <c r="F145" s="19">
        <v>195</v>
      </c>
      <c r="G145" s="40"/>
      <c r="H145" s="40"/>
      <c r="I145" s="40"/>
      <c r="J145" s="139"/>
      <c r="K145" s="48"/>
    </row>
    <row r="146" spans="1:11" ht="12.6" customHeight="1" x14ac:dyDescent="0.25">
      <c r="A146" s="12">
        <v>70</v>
      </c>
      <c r="B146" s="1"/>
      <c r="C146" s="76" t="s">
        <v>48</v>
      </c>
      <c r="D146" s="1" t="s">
        <v>79</v>
      </c>
      <c r="E146" s="19">
        <f>177.9+1.1</f>
        <v>179</v>
      </c>
      <c r="F146" s="19">
        <v>134.5</v>
      </c>
      <c r="G146" s="40"/>
      <c r="H146" s="40"/>
      <c r="I146" s="40"/>
      <c r="J146" s="139"/>
      <c r="K146" s="48"/>
    </row>
    <row r="147" spans="1:11" ht="12.6" customHeight="1" x14ac:dyDescent="0.25">
      <c r="A147" s="12">
        <v>71</v>
      </c>
      <c r="B147" s="1"/>
      <c r="C147" s="76" t="s">
        <v>43</v>
      </c>
      <c r="D147" s="1" t="s">
        <v>79</v>
      </c>
      <c r="E147" s="19">
        <f>168.3+0.7</f>
        <v>169</v>
      </c>
      <c r="F147" s="19">
        <v>127.9</v>
      </c>
      <c r="G147" s="40"/>
      <c r="H147" s="40"/>
      <c r="I147" s="40"/>
      <c r="J147" s="139"/>
      <c r="K147" s="48"/>
    </row>
    <row r="148" spans="1:11" ht="12.6" customHeight="1" x14ac:dyDescent="0.25">
      <c r="A148" s="12">
        <v>72</v>
      </c>
      <c r="B148" s="1"/>
      <c r="C148" s="76" t="s">
        <v>49</v>
      </c>
      <c r="D148" s="1" t="s">
        <v>79</v>
      </c>
      <c r="E148" s="19">
        <f>115.5+0.9</f>
        <v>116.4</v>
      </c>
      <c r="F148" s="19">
        <v>95.8</v>
      </c>
      <c r="G148" s="40"/>
      <c r="H148" s="40"/>
      <c r="I148" s="40"/>
      <c r="J148" s="139"/>
      <c r="K148" s="48"/>
    </row>
    <row r="149" spans="1:11" ht="12.6" customHeight="1" x14ac:dyDescent="0.25">
      <c r="A149" s="12">
        <v>73</v>
      </c>
      <c r="B149" s="1"/>
      <c r="C149" s="76" t="s">
        <v>50</v>
      </c>
      <c r="D149" s="1" t="s">
        <v>79</v>
      </c>
      <c r="E149" s="19">
        <f>105+3.3</f>
        <v>108.3</v>
      </c>
      <c r="F149" s="19">
        <v>83.1</v>
      </c>
      <c r="G149" s="40"/>
      <c r="H149" s="40"/>
      <c r="I149" s="40"/>
      <c r="J149" s="139"/>
      <c r="K149" s="48"/>
    </row>
    <row r="150" spans="1:11" ht="12.6" customHeight="1" x14ac:dyDescent="0.25">
      <c r="A150" s="12">
        <v>74</v>
      </c>
      <c r="B150" s="1"/>
      <c r="C150" s="15" t="s">
        <v>51</v>
      </c>
      <c r="D150" s="1" t="s">
        <v>80</v>
      </c>
      <c r="E150" s="19">
        <f>1057.4+5.1</f>
        <v>1062.5</v>
      </c>
      <c r="F150" s="19">
        <v>902.8</v>
      </c>
      <c r="G150" s="40"/>
      <c r="H150" s="40"/>
      <c r="I150" s="40"/>
      <c r="J150" s="139"/>
      <c r="K150" s="48"/>
    </row>
    <row r="151" spans="1:11" ht="12.6" customHeight="1" x14ac:dyDescent="0.25">
      <c r="A151" s="168">
        <v>75</v>
      </c>
      <c r="B151" s="170"/>
      <c r="C151" s="76" t="s">
        <v>41</v>
      </c>
      <c r="D151" s="166" t="s">
        <v>81</v>
      </c>
      <c r="E151" s="19">
        <f>511.4+2.4+E153+E152</f>
        <v>561.4</v>
      </c>
      <c r="F151" s="19">
        <v>420.5</v>
      </c>
      <c r="G151" s="40"/>
      <c r="H151" s="40"/>
      <c r="I151" s="40"/>
      <c r="J151" s="139"/>
      <c r="K151" s="48"/>
    </row>
    <row r="152" spans="1:11" ht="12.6" customHeight="1" x14ac:dyDescent="0.25">
      <c r="A152" s="172"/>
      <c r="B152" s="173"/>
      <c r="C152" s="134" t="s">
        <v>258</v>
      </c>
      <c r="D152" s="166"/>
      <c r="E152" s="19">
        <v>42.4</v>
      </c>
      <c r="F152" s="19"/>
      <c r="G152" s="40"/>
      <c r="H152" s="40"/>
      <c r="I152" s="40"/>
      <c r="J152" s="139"/>
      <c r="K152" s="48"/>
    </row>
    <row r="153" spans="1:11" ht="12.6" customHeight="1" x14ac:dyDescent="0.25">
      <c r="A153" s="169"/>
      <c r="B153" s="171"/>
      <c r="C153" s="134" t="s">
        <v>462</v>
      </c>
      <c r="D153" s="1" t="s">
        <v>126</v>
      </c>
      <c r="E153" s="19">
        <v>5.2</v>
      </c>
      <c r="F153" s="19"/>
      <c r="G153" s="40"/>
      <c r="H153" s="40"/>
      <c r="I153" s="40"/>
      <c r="J153" s="139"/>
      <c r="K153" s="48"/>
    </row>
    <row r="154" spans="1:11" ht="12.6" customHeight="1" x14ac:dyDescent="0.25">
      <c r="A154" s="12">
        <v>76</v>
      </c>
      <c r="B154" s="1"/>
      <c r="C154" s="16" t="s">
        <v>184</v>
      </c>
      <c r="D154" s="1"/>
      <c r="E154" s="19">
        <f>+E155+E156+E157+E158+E161+E159+E160</f>
        <v>1010.5</v>
      </c>
      <c r="F154" s="19">
        <f>+F155+F156+F157+F158+F161+F159+F160</f>
        <v>74.8</v>
      </c>
      <c r="G154" s="40"/>
      <c r="H154" s="40"/>
      <c r="I154" s="40"/>
      <c r="J154" s="139"/>
      <c r="K154" s="48"/>
    </row>
    <row r="155" spans="1:11" ht="26.4" x14ac:dyDescent="0.25">
      <c r="A155" s="34" t="s">
        <v>317</v>
      </c>
      <c r="B155" s="1"/>
      <c r="C155" s="16" t="s">
        <v>3</v>
      </c>
      <c r="D155" s="14" t="s">
        <v>145</v>
      </c>
      <c r="E155" s="19">
        <f>396.3+18.3</f>
        <v>414.6</v>
      </c>
      <c r="F155" s="19">
        <f>56.8+18</f>
        <v>74.8</v>
      </c>
      <c r="G155" s="40"/>
      <c r="H155" s="40"/>
      <c r="I155" s="40"/>
      <c r="J155" s="139"/>
      <c r="K155" s="48"/>
    </row>
    <row r="156" spans="1:11" ht="52.8" x14ac:dyDescent="0.25">
      <c r="A156" s="34" t="s">
        <v>318</v>
      </c>
      <c r="B156" s="1"/>
      <c r="C156" s="62" t="s">
        <v>215</v>
      </c>
      <c r="D156" s="14" t="s">
        <v>82</v>
      </c>
      <c r="E156" s="19">
        <v>22</v>
      </c>
      <c r="F156" s="19"/>
      <c r="G156" s="40"/>
      <c r="H156" s="40"/>
      <c r="I156" s="40"/>
      <c r="J156" s="139"/>
      <c r="K156" s="48"/>
    </row>
    <row r="157" spans="1:11" x14ac:dyDescent="0.25">
      <c r="A157" s="34" t="s">
        <v>319</v>
      </c>
      <c r="B157" s="1"/>
      <c r="C157" s="62" t="s">
        <v>487</v>
      </c>
      <c r="D157" s="14" t="s">
        <v>82</v>
      </c>
      <c r="E157" s="19">
        <v>13</v>
      </c>
      <c r="F157" s="19"/>
      <c r="G157" s="40"/>
      <c r="H157" s="40"/>
      <c r="I157" s="40"/>
      <c r="J157" s="139"/>
      <c r="K157" s="48"/>
    </row>
    <row r="158" spans="1:11" ht="26.4" x14ac:dyDescent="0.25">
      <c r="A158" s="34" t="s">
        <v>320</v>
      </c>
      <c r="B158" s="1"/>
      <c r="C158" s="62" t="s">
        <v>488</v>
      </c>
      <c r="D158" s="14" t="s">
        <v>82</v>
      </c>
      <c r="E158" s="19">
        <v>3</v>
      </c>
      <c r="F158" s="19"/>
      <c r="G158" s="40"/>
      <c r="H158" s="40"/>
      <c r="I158" s="40"/>
      <c r="J158" s="139"/>
      <c r="K158" s="48"/>
    </row>
    <row r="159" spans="1:11" ht="26.4" x14ac:dyDescent="0.25">
      <c r="A159" s="34" t="s">
        <v>594</v>
      </c>
      <c r="B159" s="1"/>
      <c r="C159" s="29" t="s">
        <v>263</v>
      </c>
      <c r="D159" s="14" t="s">
        <v>166</v>
      </c>
      <c r="E159" s="19">
        <v>58</v>
      </c>
      <c r="F159" s="19"/>
      <c r="G159" s="40"/>
      <c r="H159" s="40"/>
      <c r="I159" s="40"/>
      <c r="J159" s="139"/>
      <c r="K159" s="48"/>
    </row>
    <row r="160" spans="1:11" ht="26.4" x14ac:dyDescent="0.25">
      <c r="A160" s="34" t="s">
        <v>639</v>
      </c>
      <c r="B160" s="1"/>
      <c r="C160" s="29" t="s">
        <v>206</v>
      </c>
      <c r="D160" s="14" t="s">
        <v>166</v>
      </c>
      <c r="E160" s="19">
        <v>19.899999999999999</v>
      </c>
      <c r="F160" s="19"/>
      <c r="G160" s="40"/>
      <c r="H160" s="40"/>
      <c r="I160" s="40"/>
      <c r="J160" s="139"/>
      <c r="K160" s="48"/>
    </row>
    <row r="161" spans="1:21" ht="39" customHeight="1" x14ac:dyDescent="0.25">
      <c r="A161" s="34" t="s">
        <v>595</v>
      </c>
      <c r="B161" s="1"/>
      <c r="C161" s="60" t="s">
        <v>464</v>
      </c>
      <c r="D161" s="9"/>
      <c r="E161" s="63">
        <f>SUM(E162:E165)</f>
        <v>480</v>
      </c>
      <c r="F161" s="63">
        <f>SUM(F162:F165)</f>
        <v>0</v>
      </c>
      <c r="G161" s="40"/>
      <c r="H161" s="40"/>
      <c r="I161" s="40"/>
      <c r="J161" s="74"/>
      <c r="K161" s="48"/>
    </row>
    <row r="162" spans="1:21" ht="39.6" x14ac:dyDescent="0.25">
      <c r="A162" s="34" t="s">
        <v>640</v>
      </c>
      <c r="B162" s="1"/>
      <c r="C162" s="29" t="s">
        <v>191</v>
      </c>
      <c r="D162" s="1" t="s">
        <v>81</v>
      </c>
      <c r="E162" s="19">
        <v>150</v>
      </c>
      <c r="F162" s="19"/>
      <c r="G162" s="40"/>
      <c r="H162" s="40"/>
      <c r="I162" s="40"/>
      <c r="J162" s="139"/>
      <c r="K162" s="48"/>
    </row>
    <row r="163" spans="1:21" ht="26.4" x14ac:dyDescent="0.25">
      <c r="A163" s="34" t="s">
        <v>641</v>
      </c>
      <c r="B163" s="1"/>
      <c r="C163" s="29" t="s">
        <v>216</v>
      </c>
      <c r="D163" s="1" t="s">
        <v>79</v>
      </c>
      <c r="E163" s="19">
        <v>180</v>
      </c>
      <c r="F163" s="19"/>
      <c r="G163" s="40"/>
      <c r="H163" s="40"/>
      <c r="I163" s="40"/>
      <c r="J163" s="139"/>
      <c r="K163" s="48"/>
    </row>
    <row r="164" spans="1:21" ht="12.6" customHeight="1" x14ac:dyDescent="0.25">
      <c r="A164" s="34" t="s">
        <v>642</v>
      </c>
      <c r="B164" s="1"/>
      <c r="C164" s="35" t="s">
        <v>264</v>
      </c>
      <c r="D164" s="14" t="s">
        <v>79</v>
      </c>
      <c r="E164" s="19">
        <f>55+75</f>
        <v>130</v>
      </c>
      <c r="F164" s="19"/>
      <c r="G164" s="40"/>
      <c r="H164" s="40"/>
      <c r="I164" s="40"/>
      <c r="J164" s="139"/>
      <c r="K164" s="48"/>
      <c r="U164" s="48"/>
    </row>
    <row r="165" spans="1:21" ht="26.4" x14ac:dyDescent="0.25">
      <c r="A165" s="34" t="s">
        <v>654</v>
      </c>
      <c r="B165" s="1"/>
      <c r="C165" s="15" t="s">
        <v>649</v>
      </c>
      <c r="D165" s="14" t="s">
        <v>79</v>
      </c>
      <c r="E165" s="19">
        <v>20</v>
      </c>
      <c r="F165" s="19"/>
      <c r="G165" s="40"/>
      <c r="H165" s="40"/>
      <c r="I165" s="40"/>
      <c r="J165" s="139"/>
      <c r="K165" s="48"/>
      <c r="U165" s="48"/>
    </row>
    <row r="166" spans="1:21" ht="12.6" customHeight="1" x14ac:dyDescent="0.25">
      <c r="A166" s="12">
        <v>77</v>
      </c>
      <c r="B166" s="1"/>
      <c r="C166" s="15" t="s">
        <v>6</v>
      </c>
      <c r="D166" s="1" t="s">
        <v>81</v>
      </c>
      <c r="E166" s="19">
        <v>6.5</v>
      </c>
      <c r="F166" s="19">
        <v>6.3</v>
      </c>
      <c r="G166" s="40"/>
      <c r="H166" s="40"/>
      <c r="I166" s="40"/>
      <c r="J166" s="139"/>
      <c r="K166" s="48"/>
    </row>
    <row r="167" spans="1:21" ht="30" customHeight="1" x14ac:dyDescent="0.25">
      <c r="A167" s="12">
        <v>78</v>
      </c>
      <c r="B167" s="11" t="s">
        <v>104</v>
      </c>
      <c r="C167" s="66" t="s">
        <v>105</v>
      </c>
      <c r="D167" s="1"/>
      <c r="E167" s="57">
        <f>+E170+E168</f>
        <v>721</v>
      </c>
      <c r="F167" s="57">
        <f>+F170</f>
        <v>0</v>
      </c>
      <c r="G167" s="40"/>
      <c r="H167" s="40"/>
      <c r="I167" s="40"/>
      <c r="J167" s="138"/>
    </row>
    <row r="168" spans="1:21" ht="12.6" customHeight="1" x14ac:dyDescent="0.25">
      <c r="A168" s="168">
        <v>79</v>
      </c>
      <c r="B168" s="174"/>
      <c r="C168" s="76" t="s">
        <v>326</v>
      </c>
      <c r="D168" s="170" t="s">
        <v>106</v>
      </c>
      <c r="E168" s="19">
        <f>+E169</f>
        <v>112.5</v>
      </c>
      <c r="F168" s="57"/>
      <c r="G168" s="40"/>
      <c r="H168" s="40"/>
      <c r="I168" s="40"/>
      <c r="J168" s="138"/>
    </row>
    <row r="169" spans="1:21" ht="26.4" x14ac:dyDescent="0.25">
      <c r="A169" s="169"/>
      <c r="B169" s="175"/>
      <c r="C169" s="64" t="s">
        <v>376</v>
      </c>
      <c r="D169" s="171"/>
      <c r="E169" s="19">
        <v>112.5</v>
      </c>
      <c r="F169" s="19"/>
      <c r="G169" s="40"/>
      <c r="H169" s="40"/>
      <c r="I169" s="40"/>
      <c r="J169" s="138"/>
    </row>
    <row r="170" spans="1:21" ht="12.6" customHeight="1" x14ac:dyDescent="0.25">
      <c r="A170" s="12">
        <v>80</v>
      </c>
      <c r="B170" s="1"/>
      <c r="C170" s="16" t="s">
        <v>184</v>
      </c>
      <c r="D170" s="1"/>
      <c r="E170" s="19">
        <f>+E171+E172+E173</f>
        <v>608.5</v>
      </c>
      <c r="F170" s="19">
        <f>+F171+F172+F173</f>
        <v>0</v>
      </c>
      <c r="G170" s="40"/>
      <c r="H170" s="40"/>
      <c r="I170" s="40"/>
      <c r="J170" s="138"/>
    </row>
    <row r="171" spans="1:21" ht="27.6" customHeight="1" x14ac:dyDescent="0.25">
      <c r="A171" s="67" t="s">
        <v>327</v>
      </c>
      <c r="B171" s="1"/>
      <c r="C171" s="62" t="s">
        <v>203</v>
      </c>
      <c r="D171" s="1" t="s">
        <v>106</v>
      </c>
      <c r="E171" s="19">
        <v>75</v>
      </c>
      <c r="F171" s="19"/>
      <c r="G171" s="40"/>
      <c r="H171" s="40"/>
      <c r="I171" s="40"/>
      <c r="J171" s="138"/>
    </row>
    <row r="172" spans="1:21" ht="12.6" customHeight="1" x14ac:dyDescent="0.25">
      <c r="A172" s="67" t="s">
        <v>328</v>
      </c>
      <c r="B172" s="1"/>
      <c r="C172" s="62" t="s">
        <v>143</v>
      </c>
      <c r="D172" s="1" t="s">
        <v>146</v>
      </c>
      <c r="E172" s="19">
        <f>35+10</f>
        <v>45</v>
      </c>
      <c r="F172" s="19"/>
      <c r="G172" s="40"/>
      <c r="H172" s="40"/>
      <c r="I172" s="40"/>
    </row>
    <row r="173" spans="1:21" ht="41.4" customHeight="1" x14ac:dyDescent="0.25">
      <c r="A173" s="67" t="s">
        <v>596</v>
      </c>
      <c r="B173" s="1"/>
      <c r="C173" s="60" t="s">
        <v>464</v>
      </c>
      <c r="D173" s="11"/>
      <c r="E173" s="63">
        <f>SUM(E174:E190)</f>
        <v>488.5</v>
      </c>
      <c r="F173" s="63">
        <f>SUM(F174:F190)</f>
        <v>0</v>
      </c>
      <c r="G173" s="40"/>
      <c r="H173" s="40"/>
      <c r="I173" s="40"/>
      <c r="L173" s="48"/>
    </row>
    <row r="174" spans="1:21" ht="26.4" x14ac:dyDescent="0.25">
      <c r="A174" s="34" t="s">
        <v>597</v>
      </c>
      <c r="B174" s="1"/>
      <c r="C174" s="35" t="s">
        <v>204</v>
      </c>
      <c r="D174" s="14" t="s">
        <v>161</v>
      </c>
      <c r="E174" s="19">
        <v>45</v>
      </c>
      <c r="F174" s="19"/>
      <c r="G174" s="40"/>
      <c r="H174" s="40"/>
      <c r="I174" s="40"/>
    </row>
    <row r="175" spans="1:21" ht="26.4" x14ac:dyDescent="0.25">
      <c r="A175" s="34" t="s">
        <v>598</v>
      </c>
      <c r="B175" s="1"/>
      <c r="C175" s="62" t="s">
        <v>265</v>
      </c>
      <c r="D175" s="1" t="s">
        <v>116</v>
      </c>
      <c r="E175" s="19">
        <f>26+5</f>
        <v>31</v>
      </c>
      <c r="F175" s="19"/>
      <c r="G175" s="40"/>
      <c r="H175" s="40"/>
      <c r="I175" s="40"/>
    </row>
    <row r="176" spans="1:21" ht="26.4" x14ac:dyDescent="0.25">
      <c r="A176" s="34" t="s">
        <v>599</v>
      </c>
      <c r="B176" s="1"/>
      <c r="C176" s="35" t="s">
        <v>266</v>
      </c>
      <c r="D176" s="1" t="s">
        <v>116</v>
      </c>
      <c r="E176" s="19">
        <v>40</v>
      </c>
      <c r="F176" s="19"/>
      <c r="G176" s="40"/>
      <c r="H176" s="40"/>
      <c r="I176" s="40"/>
    </row>
    <row r="177" spans="1:9" ht="26.4" x14ac:dyDescent="0.25">
      <c r="A177" s="34" t="s">
        <v>600</v>
      </c>
      <c r="B177" s="1"/>
      <c r="C177" s="35" t="s">
        <v>267</v>
      </c>
      <c r="D177" s="14" t="s">
        <v>126</v>
      </c>
      <c r="E177" s="19">
        <v>6</v>
      </c>
      <c r="F177" s="19"/>
      <c r="G177" s="40"/>
      <c r="H177" s="40"/>
      <c r="I177" s="40"/>
    </row>
    <row r="178" spans="1:9" ht="39.6" x14ac:dyDescent="0.25">
      <c r="A178" s="34" t="s">
        <v>601</v>
      </c>
      <c r="B178" s="1"/>
      <c r="C178" s="35" t="s">
        <v>492</v>
      </c>
      <c r="D178" s="33" t="s">
        <v>116</v>
      </c>
      <c r="E178" s="19">
        <v>12</v>
      </c>
      <c r="F178" s="19"/>
      <c r="G178" s="40"/>
      <c r="H178" s="40"/>
      <c r="I178" s="40"/>
    </row>
    <row r="179" spans="1:9" ht="26.4" x14ac:dyDescent="0.25">
      <c r="A179" s="34" t="s">
        <v>602</v>
      </c>
      <c r="B179" s="1"/>
      <c r="C179" s="35" t="s">
        <v>268</v>
      </c>
      <c r="D179" s="33" t="s">
        <v>116</v>
      </c>
      <c r="E179" s="19">
        <v>15</v>
      </c>
      <c r="F179" s="19"/>
      <c r="G179" s="40"/>
      <c r="H179" s="40"/>
      <c r="I179" s="40"/>
    </row>
    <row r="180" spans="1:9" ht="26.4" x14ac:dyDescent="0.25">
      <c r="A180" s="34" t="s">
        <v>603</v>
      </c>
      <c r="B180" s="1"/>
      <c r="C180" s="35" t="s">
        <v>377</v>
      </c>
      <c r="D180" s="33" t="s">
        <v>126</v>
      </c>
      <c r="E180" s="19">
        <v>40</v>
      </c>
      <c r="F180" s="19"/>
      <c r="G180" s="40"/>
      <c r="H180" s="40"/>
      <c r="I180" s="40"/>
    </row>
    <row r="181" spans="1:9" ht="39.6" x14ac:dyDescent="0.25">
      <c r="A181" s="34" t="s">
        <v>604</v>
      </c>
      <c r="B181" s="1"/>
      <c r="C181" s="35" t="s">
        <v>491</v>
      </c>
      <c r="D181" s="33" t="s">
        <v>628</v>
      </c>
      <c r="E181" s="19">
        <f>130</f>
        <v>130</v>
      </c>
      <c r="F181" s="19"/>
      <c r="G181" s="40"/>
      <c r="H181" s="40"/>
      <c r="I181" s="40"/>
    </row>
    <row r="182" spans="1:9" ht="12.6" customHeight="1" x14ac:dyDescent="0.25">
      <c r="A182" s="34" t="s">
        <v>605</v>
      </c>
      <c r="B182" s="1"/>
      <c r="C182" s="35" t="s">
        <v>493</v>
      </c>
      <c r="D182" s="33" t="s">
        <v>116</v>
      </c>
      <c r="E182" s="19">
        <v>30</v>
      </c>
      <c r="F182" s="19"/>
      <c r="G182" s="40"/>
      <c r="H182" s="40"/>
      <c r="I182" s="40"/>
    </row>
    <row r="183" spans="1:9" ht="39.6" x14ac:dyDescent="0.25">
      <c r="A183" s="34" t="s">
        <v>606</v>
      </c>
      <c r="B183" s="1"/>
      <c r="C183" s="35" t="s">
        <v>177</v>
      </c>
      <c r="D183" s="1" t="s">
        <v>106</v>
      </c>
      <c r="E183" s="19">
        <v>3.5</v>
      </c>
      <c r="F183" s="19"/>
      <c r="G183" s="40"/>
      <c r="H183" s="40"/>
      <c r="I183" s="40"/>
    </row>
    <row r="184" spans="1:9" ht="26.4" x14ac:dyDescent="0.25">
      <c r="A184" s="34" t="s">
        <v>607</v>
      </c>
      <c r="B184" s="1"/>
      <c r="C184" s="35" t="s">
        <v>269</v>
      </c>
      <c r="D184" s="124" t="s">
        <v>199</v>
      </c>
      <c r="E184" s="19">
        <v>10</v>
      </c>
      <c r="F184" s="19"/>
      <c r="G184" s="40"/>
      <c r="H184" s="40"/>
      <c r="I184" s="40"/>
    </row>
    <row r="185" spans="1:9" ht="26.4" x14ac:dyDescent="0.25">
      <c r="A185" s="34" t="s">
        <v>608</v>
      </c>
      <c r="B185" s="1"/>
      <c r="C185" s="35" t="s">
        <v>270</v>
      </c>
      <c r="D185" s="33" t="s">
        <v>116</v>
      </c>
      <c r="E185" s="19">
        <v>3</v>
      </c>
      <c r="F185" s="19"/>
      <c r="G185" s="40"/>
      <c r="H185" s="40"/>
      <c r="I185" s="40"/>
    </row>
    <row r="186" spans="1:9" ht="26.4" x14ac:dyDescent="0.25">
      <c r="A186" s="34" t="s">
        <v>609</v>
      </c>
      <c r="B186" s="1"/>
      <c r="C186" s="35" t="s">
        <v>271</v>
      </c>
      <c r="D186" s="33" t="s">
        <v>116</v>
      </c>
      <c r="E186" s="19">
        <v>3</v>
      </c>
      <c r="F186" s="19"/>
      <c r="G186" s="40"/>
      <c r="H186" s="40"/>
      <c r="I186" s="40"/>
    </row>
    <row r="187" spans="1:9" ht="26.4" x14ac:dyDescent="0.25">
      <c r="A187" s="34" t="s">
        <v>610</v>
      </c>
      <c r="B187" s="1"/>
      <c r="C187" s="35" t="s">
        <v>272</v>
      </c>
      <c r="D187" s="1" t="s">
        <v>126</v>
      </c>
      <c r="E187" s="19">
        <v>20</v>
      </c>
      <c r="F187" s="19"/>
      <c r="G187" s="40"/>
      <c r="H187" s="40"/>
      <c r="I187" s="40"/>
    </row>
    <row r="188" spans="1:9" ht="26.4" x14ac:dyDescent="0.25">
      <c r="A188" s="34" t="s">
        <v>611</v>
      </c>
      <c r="B188" s="1"/>
      <c r="C188" s="35" t="s">
        <v>494</v>
      </c>
      <c r="D188" s="33" t="s">
        <v>116</v>
      </c>
      <c r="E188" s="19">
        <v>20</v>
      </c>
      <c r="F188" s="19"/>
      <c r="G188" s="40"/>
      <c r="H188" s="40"/>
      <c r="I188" s="40"/>
    </row>
    <row r="189" spans="1:9" ht="39.6" x14ac:dyDescent="0.25">
      <c r="A189" s="34" t="s">
        <v>612</v>
      </c>
      <c r="B189" s="1"/>
      <c r="C189" s="35" t="s">
        <v>495</v>
      </c>
      <c r="D189" s="33" t="s">
        <v>106</v>
      </c>
      <c r="E189" s="19">
        <v>40</v>
      </c>
      <c r="F189" s="19"/>
      <c r="G189" s="40"/>
      <c r="H189" s="40"/>
      <c r="I189" s="40"/>
    </row>
    <row r="190" spans="1:9" ht="52.8" x14ac:dyDescent="0.25">
      <c r="A190" s="34" t="s">
        <v>650</v>
      </c>
      <c r="B190" s="1"/>
      <c r="C190" s="35" t="s">
        <v>651</v>
      </c>
      <c r="D190" s="33" t="s">
        <v>106</v>
      </c>
      <c r="E190" s="19">
        <v>40</v>
      </c>
      <c r="F190" s="19"/>
      <c r="G190" s="40"/>
      <c r="H190" s="40"/>
      <c r="I190" s="40"/>
    </row>
    <row r="191" spans="1:9" ht="27" customHeight="1" x14ac:dyDescent="0.25">
      <c r="A191" s="12">
        <v>81</v>
      </c>
      <c r="B191" s="11" t="s">
        <v>83</v>
      </c>
      <c r="C191" s="68" t="s">
        <v>84</v>
      </c>
      <c r="D191" s="9"/>
      <c r="E191" s="59">
        <f>+E192+E231+E232+E233+E234+E235+E236+E237+E238+E239+E240+E241</f>
        <v>2438.6999999999998</v>
      </c>
      <c r="F191" s="59">
        <f>+F232+F233+F235+F234+F231+F236+F237+F239+F238+F240+F241+F192</f>
        <v>0</v>
      </c>
      <c r="G191" s="40"/>
      <c r="H191" s="40"/>
      <c r="I191" s="40"/>
    </row>
    <row r="192" spans="1:9" ht="12.6" customHeight="1" x14ac:dyDescent="0.25">
      <c r="A192" s="12">
        <v>82</v>
      </c>
      <c r="B192" s="1"/>
      <c r="C192" s="16" t="s">
        <v>192</v>
      </c>
      <c r="D192" s="14"/>
      <c r="E192" s="19">
        <f>E193</f>
        <v>2048.3000000000002</v>
      </c>
      <c r="F192" s="19">
        <f>F193</f>
        <v>0</v>
      </c>
      <c r="G192" s="40"/>
      <c r="H192" s="40"/>
      <c r="I192" s="40"/>
    </row>
    <row r="193" spans="1:9" ht="39" customHeight="1" x14ac:dyDescent="0.25">
      <c r="A193" s="34" t="s">
        <v>329</v>
      </c>
      <c r="B193" s="1"/>
      <c r="C193" s="60" t="s">
        <v>464</v>
      </c>
      <c r="D193" s="14"/>
      <c r="E193" s="63">
        <f>SUM(E194:E230)</f>
        <v>2048.3000000000002</v>
      </c>
      <c r="F193" s="63">
        <f>SUM(F194:F230)</f>
        <v>0</v>
      </c>
      <c r="G193" s="40"/>
      <c r="H193" s="40"/>
      <c r="I193" s="40"/>
    </row>
    <row r="194" spans="1:9" ht="27.6" customHeight="1" x14ac:dyDescent="0.25">
      <c r="A194" s="34" t="s">
        <v>330</v>
      </c>
      <c r="B194" s="1"/>
      <c r="C194" s="29" t="s">
        <v>500</v>
      </c>
      <c r="D194" s="14" t="s">
        <v>128</v>
      </c>
      <c r="E194" s="19">
        <f>65-20</f>
        <v>45</v>
      </c>
      <c r="F194" s="19"/>
      <c r="G194" s="40"/>
      <c r="H194" s="40"/>
      <c r="I194" s="40"/>
    </row>
    <row r="195" spans="1:9" ht="27.6" customHeight="1" x14ac:dyDescent="0.25">
      <c r="A195" s="34" t="s">
        <v>613</v>
      </c>
      <c r="B195" s="1"/>
      <c r="C195" s="29" t="s">
        <v>674</v>
      </c>
      <c r="D195" s="14" t="s">
        <v>128</v>
      </c>
      <c r="E195" s="19">
        <v>20</v>
      </c>
      <c r="F195" s="152"/>
      <c r="G195" s="40"/>
      <c r="H195" s="40"/>
      <c r="I195" s="40"/>
    </row>
    <row r="196" spans="1:9" ht="27" customHeight="1" x14ac:dyDescent="0.25">
      <c r="A196" s="34" t="s">
        <v>614</v>
      </c>
      <c r="B196" s="1"/>
      <c r="C196" s="35" t="s">
        <v>501</v>
      </c>
      <c r="D196" s="14" t="s">
        <v>36</v>
      </c>
      <c r="E196" s="19">
        <v>45</v>
      </c>
      <c r="F196" s="19"/>
      <c r="G196" s="40"/>
      <c r="H196" s="40"/>
      <c r="I196" s="40"/>
    </row>
    <row r="197" spans="1:9" ht="40.200000000000003" customHeight="1" x14ac:dyDescent="0.25">
      <c r="A197" s="34" t="s">
        <v>331</v>
      </c>
      <c r="B197" s="1"/>
      <c r="C197" s="16" t="s">
        <v>141</v>
      </c>
      <c r="D197" s="14" t="s">
        <v>128</v>
      </c>
      <c r="E197" s="19">
        <f>30+30</f>
        <v>60</v>
      </c>
      <c r="F197" s="19"/>
      <c r="G197" s="40"/>
      <c r="H197" s="40"/>
      <c r="I197" s="40"/>
    </row>
    <row r="198" spans="1:9" ht="26.4" x14ac:dyDescent="0.25">
      <c r="A198" s="34" t="s">
        <v>332</v>
      </c>
      <c r="B198" s="1"/>
      <c r="C198" s="16" t="s">
        <v>273</v>
      </c>
      <c r="D198" s="14" t="s">
        <v>365</v>
      </c>
      <c r="E198" s="19">
        <v>12</v>
      </c>
      <c r="F198" s="19"/>
      <c r="G198" s="40"/>
      <c r="H198" s="40"/>
      <c r="I198" s="40"/>
    </row>
    <row r="199" spans="1:9" ht="39.6" x14ac:dyDescent="0.25">
      <c r="A199" s="34" t="s">
        <v>333</v>
      </c>
      <c r="B199" s="1"/>
      <c r="C199" s="16" t="s">
        <v>569</v>
      </c>
      <c r="D199" s="125" t="s">
        <v>226</v>
      </c>
      <c r="E199" s="19">
        <f>90-23</f>
        <v>67</v>
      </c>
      <c r="F199" s="19"/>
      <c r="G199" s="40"/>
      <c r="H199" s="40"/>
      <c r="I199" s="40"/>
    </row>
    <row r="200" spans="1:9" ht="39.6" x14ac:dyDescent="0.25">
      <c r="A200" s="34" t="s">
        <v>334</v>
      </c>
      <c r="B200" s="1"/>
      <c r="C200" s="15" t="s">
        <v>164</v>
      </c>
      <c r="D200" s="14" t="s">
        <v>162</v>
      </c>
      <c r="E200" s="19">
        <v>150</v>
      </c>
      <c r="F200" s="19"/>
      <c r="G200" s="40"/>
      <c r="H200" s="40"/>
      <c r="I200" s="40"/>
    </row>
    <row r="201" spans="1:9" x14ac:dyDescent="0.25">
      <c r="A201" s="34" t="s">
        <v>335</v>
      </c>
      <c r="B201" s="1"/>
      <c r="C201" s="15" t="s">
        <v>142</v>
      </c>
      <c r="D201" s="126" t="s">
        <v>227</v>
      </c>
      <c r="E201" s="19">
        <v>85</v>
      </c>
      <c r="F201" s="19"/>
      <c r="G201" s="40"/>
      <c r="H201" s="40"/>
      <c r="I201" s="40"/>
    </row>
    <row r="202" spans="1:9" ht="12.6" customHeight="1" x14ac:dyDescent="0.25">
      <c r="A202" s="34" t="s">
        <v>336</v>
      </c>
      <c r="B202" s="1"/>
      <c r="C202" s="15" t="s">
        <v>231</v>
      </c>
      <c r="D202" s="126" t="s">
        <v>227</v>
      </c>
      <c r="E202" s="19">
        <v>71</v>
      </c>
      <c r="F202" s="19"/>
      <c r="G202" s="40"/>
      <c r="H202" s="40"/>
      <c r="I202" s="40"/>
    </row>
    <row r="203" spans="1:9" ht="12.6" customHeight="1" x14ac:dyDescent="0.25">
      <c r="A203" s="34" t="s">
        <v>337</v>
      </c>
      <c r="B203" s="1"/>
      <c r="C203" s="15" t="s">
        <v>274</v>
      </c>
      <c r="D203" s="126" t="s">
        <v>227</v>
      </c>
      <c r="E203" s="19">
        <v>49</v>
      </c>
      <c r="F203" s="19"/>
      <c r="G203" s="40"/>
      <c r="H203" s="40"/>
      <c r="I203" s="40"/>
    </row>
    <row r="204" spans="1:9" ht="26.4" x14ac:dyDescent="0.25">
      <c r="A204" s="34" t="s">
        <v>338</v>
      </c>
      <c r="B204" s="1"/>
      <c r="C204" s="15" t="s">
        <v>502</v>
      </c>
      <c r="D204" s="126" t="s">
        <v>227</v>
      </c>
      <c r="E204" s="19">
        <v>111</v>
      </c>
      <c r="F204" s="19"/>
      <c r="G204" s="40"/>
      <c r="H204" s="40"/>
      <c r="I204" s="40"/>
    </row>
    <row r="205" spans="1:9" ht="26.4" x14ac:dyDescent="0.25">
      <c r="A205" s="34" t="s">
        <v>339</v>
      </c>
      <c r="B205" s="1"/>
      <c r="C205" s="15" t="s">
        <v>503</v>
      </c>
      <c r="D205" s="125" t="s">
        <v>226</v>
      </c>
      <c r="E205" s="19">
        <v>25</v>
      </c>
      <c r="F205" s="19"/>
      <c r="G205" s="40"/>
      <c r="H205" s="40"/>
      <c r="I205" s="40"/>
    </row>
    <row r="206" spans="1:9" ht="26.4" x14ac:dyDescent="0.25">
      <c r="A206" s="34" t="s">
        <v>340</v>
      </c>
      <c r="B206" s="1"/>
      <c r="C206" s="15" t="s">
        <v>504</v>
      </c>
      <c r="D206" s="125" t="s">
        <v>226</v>
      </c>
      <c r="E206" s="19">
        <v>15</v>
      </c>
      <c r="F206" s="19"/>
      <c r="G206" s="40"/>
      <c r="H206" s="40"/>
      <c r="I206" s="40"/>
    </row>
    <row r="207" spans="1:9" ht="26.4" x14ac:dyDescent="0.25">
      <c r="A207" s="34" t="s">
        <v>615</v>
      </c>
      <c r="B207" s="1"/>
      <c r="C207" s="15" t="s">
        <v>505</v>
      </c>
      <c r="D207" s="125" t="s">
        <v>226</v>
      </c>
      <c r="E207" s="19">
        <f>105+23</f>
        <v>128</v>
      </c>
      <c r="F207" s="19"/>
      <c r="G207" s="40"/>
      <c r="H207" s="40"/>
      <c r="I207" s="40"/>
    </row>
    <row r="208" spans="1:9" ht="39.6" x14ac:dyDescent="0.25">
      <c r="A208" s="34" t="s">
        <v>341</v>
      </c>
      <c r="B208" s="1"/>
      <c r="C208" s="15" t="s">
        <v>506</v>
      </c>
      <c r="D208" s="125" t="s">
        <v>226</v>
      </c>
      <c r="E208" s="19">
        <v>327</v>
      </c>
      <c r="F208" s="19"/>
      <c r="G208" s="40"/>
      <c r="H208" s="40"/>
      <c r="I208" s="40"/>
    </row>
    <row r="209" spans="1:9" ht="26.4" x14ac:dyDescent="0.25">
      <c r="A209" s="34" t="s">
        <v>342</v>
      </c>
      <c r="B209" s="1"/>
      <c r="C209" s="15" t="s">
        <v>507</v>
      </c>
      <c r="D209" s="125" t="s">
        <v>226</v>
      </c>
      <c r="E209" s="19">
        <v>100</v>
      </c>
      <c r="F209" s="19"/>
      <c r="G209" s="40"/>
      <c r="H209" s="40"/>
      <c r="I209" s="40"/>
    </row>
    <row r="210" spans="1:9" ht="26.4" x14ac:dyDescent="0.25">
      <c r="A210" s="34" t="s">
        <v>343</v>
      </c>
      <c r="B210" s="1"/>
      <c r="C210" s="15" t="s">
        <v>508</v>
      </c>
      <c r="D210" s="126" t="s">
        <v>162</v>
      </c>
      <c r="E210" s="19">
        <v>64.8</v>
      </c>
      <c r="F210" s="19"/>
      <c r="G210" s="40"/>
      <c r="H210" s="40"/>
      <c r="I210" s="40"/>
    </row>
    <row r="211" spans="1:9" ht="26.4" x14ac:dyDescent="0.25">
      <c r="A211" s="34" t="s">
        <v>344</v>
      </c>
      <c r="B211" s="1"/>
      <c r="C211" s="15" t="s">
        <v>509</v>
      </c>
      <c r="D211" s="125" t="s">
        <v>226</v>
      </c>
      <c r="E211" s="19">
        <v>17</v>
      </c>
      <c r="F211" s="19"/>
      <c r="G211" s="40"/>
      <c r="H211" s="40"/>
      <c r="I211" s="40"/>
    </row>
    <row r="212" spans="1:9" ht="26.4" x14ac:dyDescent="0.25">
      <c r="A212" s="34" t="s">
        <v>345</v>
      </c>
      <c r="B212" s="1"/>
      <c r="C212" s="15" t="s">
        <v>510</v>
      </c>
      <c r="D212" s="14" t="s">
        <v>149</v>
      </c>
      <c r="E212" s="19">
        <f>10-1</f>
        <v>9</v>
      </c>
      <c r="F212" s="19"/>
      <c r="G212" s="40"/>
      <c r="H212" s="40"/>
      <c r="I212" s="40"/>
    </row>
    <row r="213" spans="1:9" ht="12.6" customHeight="1" x14ac:dyDescent="0.25">
      <c r="A213" s="34" t="s">
        <v>616</v>
      </c>
      <c r="B213" s="1"/>
      <c r="C213" s="35" t="s">
        <v>275</v>
      </c>
      <c r="D213" s="14" t="s">
        <v>149</v>
      </c>
      <c r="E213" s="19">
        <v>15</v>
      </c>
      <c r="F213" s="19"/>
      <c r="G213" s="40"/>
      <c r="H213" s="40"/>
      <c r="I213" s="40"/>
    </row>
    <row r="214" spans="1:9" ht="26.4" x14ac:dyDescent="0.25">
      <c r="A214" s="34" t="s">
        <v>346</v>
      </c>
      <c r="B214" s="1"/>
      <c r="C214" s="35" t="s">
        <v>276</v>
      </c>
      <c r="D214" s="14" t="s">
        <v>149</v>
      </c>
      <c r="E214" s="19">
        <v>12</v>
      </c>
      <c r="F214" s="19"/>
      <c r="G214" s="40"/>
      <c r="H214" s="40"/>
      <c r="I214" s="40"/>
    </row>
    <row r="215" spans="1:9" ht="26.4" x14ac:dyDescent="0.25">
      <c r="A215" s="34" t="s">
        <v>347</v>
      </c>
      <c r="B215" s="1"/>
      <c r="C215" s="35" t="s">
        <v>625</v>
      </c>
      <c r="D215" s="14" t="s">
        <v>149</v>
      </c>
      <c r="E215" s="19">
        <f>15+4+1+10</f>
        <v>30</v>
      </c>
      <c r="F215" s="19"/>
      <c r="G215" s="40"/>
      <c r="H215" s="40"/>
      <c r="I215" s="40"/>
    </row>
    <row r="216" spans="1:9" ht="12.6" customHeight="1" x14ac:dyDescent="0.25">
      <c r="A216" s="34" t="s">
        <v>617</v>
      </c>
      <c r="B216" s="1"/>
      <c r="C216" s="35" t="s">
        <v>122</v>
      </c>
      <c r="D216" s="14" t="s">
        <v>166</v>
      </c>
      <c r="E216" s="19">
        <v>30</v>
      </c>
      <c r="F216" s="19"/>
      <c r="G216" s="40"/>
      <c r="H216" s="40"/>
      <c r="I216" s="40"/>
    </row>
    <row r="217" spans="1:9" ht="12.6" customHeight="1" x14ac:dyDescent="0.25">
      <c r="A217" s="34" t="s">
        <v>618</v>
      </c>
      <c r="B217" s="1"/>
      <c r="C217" s="35" t="s">
        <v>123</v>
      </c>
      <c r="D217" s="14" t="s">
        <v>166</v>
      </c>
      <c r="E217" s="19">
        <v>40</v>
      </c>
      <c r="F217" s="19"/>
      <c r="G217" s="40"/>
      <c r="H217" s="40"/>
      <c r="I217" s="40"/>
    </row>
    <row r="218" spans="1:9" ht="26.4" x14ac:dyDescent="0.25">
      <c r="A218" s="34" t="s">
        <v>619</v>
      </c>
      <c r="B218" s="1"/>
      <c r="C218" s="15" t="s">
        <v>277</v>
      </c>
      <c r="D218" s="14" t="s">
        <v>85</v>
      </c>
      <c r="E218" s="19">
        <v>100</v>
      </c>
      <c r="F218" s="19"/>
      <c r="G218" s="40"/>
      <c r="H218" s="40"/>
      <c r="I218" s="40"/>
    </row>
    <row r="219" spans="1:9" ht="26.4" x14ac:dyDescent="0.25">
      <c r="A219" s="34" t="s">
        <v>348</v>
      </c>
      <c r="B219" s="1"/>
      <c r="C219" s="35" t="s">
        <v>511</v>
      </c>
      <c r="D219" s="14" t="s">
        <v>85</v>
      </c>
      <c r="E219" s="19">
        <v>5</v>
      </c>
      <c r="F219" s="19"/>
      <c r="G219" s="40"/>
      <c r="H219" s="40"/>
      <c r="I219" s="40"/>
    </row>
    <row r="220" spans="1:9" ht="26.4" x14ac:dyDescent="0.25">
      <c r="A220" s="34" t="s">
        <v>349</v>
      </c>
      <c r="B220" s="1"/>
      <c r="C220" s="35" t="s">
        <v>669</v>
      </c>
      <c r="D220" s="14" t="s">
        <v>85</v>
      </c>
      <c r="E220" s="19">
        <f>20+10</f>
        <v>30</v>
      </c>
      <c r="F220" s="19"/>
      <c r="G220" s="40"/>
      <c r="H220" s="40"/>
      <c r="I220" s="40"/>
    </row>
    <row r="221" spans="1:9" ht="12.6" customHeight="1" x14ac:dyDescent="0.25">
      <c r="A221" s="34" t="s">
        <v>620</v>
      </c>
      <c r="B221" s="1"/>
      <c r="C221" s="35" t="s">
        <v>158</v>
      </c>
      <c r="D221" s="14" t="s">
        <v>629</v>
      </c>
      <c r="E221" s="19">
        <v>15.5</v>
      </c>
      <c r="F221" s="19"/>
      <c r="G221" s="40"/>
      <c r="H221" s="40"/>
      <c r="I221" s="40"/>
    </row>
    <row r="222" spans="1:9" ht="12.6" customHeight="1" x14ac:dyDescent="0.25">
      <c r="A222" s="34" t="s">
        <v>350</v>
      </c>
      <c r="B222" s="1"/>
      <c r="C222" s="35" t="s">
        <v>124</v>
      </c>
      <c r="D222" s="14" t="s">
        <v>166</v>
      </c>
      <c r="E222" s="19">
        <v>70</v>
      </c>
      <c r="F222" s="19"/>
      <c r="G222" s="40"/>
      <c r="H222" s="40"/>
      <c r="I222" s="40"/>
    </row>
    <row r="223" spans="1:9" ht="12.6" customHeight="1" x14ac:dyDescent="0.25">
      <c r="A223" s="34" t="s">
        <v>621</v>
      </c>
      <c r="B223" s="1"/>
      <c r="C223" s="35" t="s">
        <v>512</v>
      </c>
      <c r="D223" s="14" t="s">
        <v>166</v>
      </c>
      <c r="E223" s="19">
        <v>70</v>
      </c>
      <c r="F223" s="19"/>
      <c r="G223" s="40"/>
      <c r="H223" s="40"/>
      <c r="I223" s="40"/>
    </row>
    <row r="224" spans="1:9" ht="12.6" customHeight="1" x14ac:dyDescent="0.25">
      <c r="A224" s="34" t="s">
        <v>622</v>
      </c>
      <c r="B224" s="1"/>
      <c r="C224" s="35" t="s">
        <v>125</v>
      </c>
      <c r="D224" s="14" t="s">
        <v>166</v>
      </c>
      <c r="E224" s="19">
        <v>30</v>
      </c>
      <c r="F224" s="19"/>
      <c r="G224" s="40"/>
      <c r="H224" s="40"/>
      <c r="I224" s="40"/>
    </row>
    <row r="225" spans="1:9" ht="12.6" customHeight="1" x14ac:dyDescent="0.25">
      <c r="A225" s="34" t="s">
        <v>623</v>
      </c>
      <c r="B225" s="1"/>
      <c r="C225" s="15" t="s">
        <v>159</v>
      </c>
      <c r="D225" s="14" t="s">
        <v>163</v>
      </c>
      <c r="E225" s="19">
        <v>40</v>
      </c>
      <c r="F225" s="19"/>
      <c r="G225" s="40"/>
      <c r="H225" s="40"/>
      <c r="I225" s="40"/>
    </row>
    <row r="226" spans="1:9" ht="26.4" x14ac:dyDescent="0.25">
      <c r="A226" s="34" t="s">
        <v>451</v>
      </c>
      <c r="B226" s="1"/>
      <c r="C226" s="15" t="s">
        <v>513</v>
      </c>
      <c r="D226" s="14" t="s">
        <v>166</v>
      </c>
      <c r="E226" s="19">
        <f>100-20-20</f>
        <v>60</v>
      </c>
      <c r="F226" s="19"/>
      <c r="G226" s="40"/>
      <c r="H226" s="40"/>
      <c r="I226" s="40"/>
    </row>
    <row r="227" spans="1:9" ht="26.4" x14ac:dyDescent="0.25">
      <c r="A227" s="34" t="s">
        <v>630</v>
      </c>
      <c r="B227" s="1"/>
      <c r="C227" s="15" t="s">
        <v>278</v>
      </c>
      <c r="D227" s="14" t="s">
        <v>86</v>
      </c>
      <c r="E227" s="19">
        <v>20</v>
      </c>
      <c r="F227" s="19"/>
      <c r="G227" s="40"/>
      <c r="H227" s="40"/>
      <c r="I227" s="40"/>
    </row>
    <row r="228" spans="1:9" x14ac:dyDescent="0.25">
      <c r="A228" s="34" t="s">
        <v>631</v>
      </c>
      <c r="B228" s="1"/>
      <c r="C228" s="15" t="s">
        <v>626</v>
      </c>
      <c r="D228" s="14" t="s">
        <v>237</v>
      </c>
      <c r="E228" s="19">
        <v>10</v>
      </c>
      <c r="F228" s="19"/>
      <c r="G228" s="40"/>
      <c r="H228" s="40"/>
      <c r="I228" s="40"/>
    </row>
    <row r="229" spans="1:9" x14ac:dyDescent="0.25">
      <c r="A229" s="34" t="s">
        <v>652</v>
      </c>
      <c r="B229" s="1"/>
      <c r="C229" s="15" t="s">
        <v>653</v>
      </c>
      <c r="D229" s="14" t="s">
        <v>166</v>
      </c>
      <c r="E229" s="19">
        <v>50</v>
      </c>
      <c r="F229" s="19"/>
      <c r="G229" s="40"/>
      <c r="H229" s="40"/>
      <c r="I229" s="40"/>
    </row>
    <row r="230" spans="1:9" x14ac:dyDescent="0.25">
      <c r="A230" s="34" t="s">
        <v>675</v>
      </c>
      <c r="B230" s="1"/>
      <c r="C230" s="15" t="s">
        <v>695</v>
      </c>
      <c r="D230" s="14" t="s">
        <v>629</v>
      </c>
      <c r="E230" s="19">
        <v>20</v>
      </c>
      <c r="F230" s="19"/>
      <c r="G230" s="40"/>
      <c r="H230" s="40"/>
      <c r="I230" s="40"/>
    </row>
    <row r="231" spans="1:9" ht="26.4" x14ac:dyDescent="0.25">
      <c r="A231" s="12">
        <v>83</v>
      </c>
      <c r="B231" s="11"/>
      <c r="C231" s="15" t="s">
        <v>8</v>
      </c>
      <c r="D231" s="14" t="s">
        <v>86</v>
      </c>
      <c r="E231" s="19">
        <v>236.6</v>
      </c>
      <c r="F231" s="19"/>
      <c r="G231" s="40"/>
      <c r="H231" s="40"/>
      <c r="I231" s="40"/>
    </row>
    <row r="232" spans="1:9" ht="12.6" customHeight="1" x14ac:dyDescent="0.25">
      <c r="A232" s="12">
        <v>84</v>
      </c>
      <c r="B232" s="11"/>
      <c r="C232" s="15" t="s">
        <v>4</v>
      </c>
      <c r="D232" s="14" t="s">
        <v>85</v>
      </c>
      <c r="E232" s="19">
        <v>23</v>
      </c>
      <c r="F232" s="19"/>
      <c r="G232" s="40"/>
      <c r="H232" s="40"/>
      <c r="I232" s="40"/>
    </row>
    <row r="233" spans="1:9" ht="12.6" customHeight="1" x14ac:dyDescent="0.25">
      <c r="A233" s="12">
        <v>85</v>
      </c>
      <c r="B233" s="11"/>
      <c r="C233" s="15" t="s">
        <v>5</v>
      </c>
      <c r="D233" s="14" t="s">
        <v>85</v>
      </c>
      <c r="E233" s="19">
        <v>10</v>
      </c>
      <c r="F233" s="19"/>
      <c r="G233" s="40"/>
      <c r="H233" s="40"/>
      <c r="I233" s="40"/>
    </row>
    <row r="234" spans="1:9" ht="12.6" customHeight="1" x14ac:dyDescent="0.25">
      <c r="A234" s="12">
        <v>86</v>
      </c>
      <c r="B234" s="11"/>
      <c r="C234" s="16" t="s">
        <v>7</v>
      </c>
      <c r="D234" s="14" t="s">
        <v>85</v>
      </c>
      <c r="E234" s="19">
        <v>19</v>
      </c>
      <c r="F234" s="19"/>
      <c r="G234" s="40"/>
      <c r="H234" s="40"/>
      <c r="I234" s="40"/>
    </row>
    <row r="235" spans="1:9" ht="12.6" customHeight="1" x14ac:dyDescent="0.25">
      <c r="A235" s="12">
        <v>87</v>
      </c>
      <c r="B235" s="11"/>
      <c r="C235" s="15" t="s">
        <v>6</v>
      </c>
      <c r="D235" s="14" t="s">
        <v>85</v>
      </c>
      <c r="E235" s="19">
        <v>16.100000000000001</v>
      </c>
      <c r="F235" s="19"/>
      <c r="G235" s="40"/>
      <c r="H235" s="40"/>
      <c r="I235" s="40"/>
    </row>
    <row r="236" spans="1:9" ht="12.6" customHeight="1" x14ac:dyDescent="0.25">
      <c r="A236" s="12">
        <v>88</v>
      </c>
      <c r="B236" s="11"/>
      <c r="C236" s="15" t="s">
        <v>9</v>
      </c>
      <c r="D236" s="14" t="s">
        <v>85</v>
      </c>
      <c r="E236" s="19">
        <v>21</v>
      </c>
      <c r="F236" s="19"/>
      <c r="G236" s="40"/>
      <c r="H236" s="40"/>
      <c r="I236" s="40"/>
    </row>
    <row r="237" spans="1:9" ht="12.6" customHeight="1" x14ac:dyDescent="0.25">
      <c r="A237" s="12">
        <v>89</v>
      </c>
      <c r="B237" s="11"/>
      <c r="C237" s="16" t="s">
        <v>10</v>
      </c>
      <c r="D237" s="14" t="s">
        <v>85</v>
      </c>
      <c r="E237" s="19">
        <v>13</v>
      </c>
      <c r="F237" s="19"/>
      <c r="G237" s="40"/>
      <c r="H237" s="40"/>
      <c r="I237" s="40"/>
    </row>
    <row r="238" spans="1:9" ht="12.6" customHeight="1" x14ac:dyDescent="0.25">
      <c r="A238" s="12">
        <v>90</v>
      </c>
      <c r="B238" s="11"/>
      <c r="C238" s="15" t="s">
        <v>12</v>
      </c>
      <c r="D238" s="14" t="s">
        <v>85</v>
      </c>
      <c r="E238" s="19">
        <v>13</v>
      </c>
      <c r="F238" s="19"/>
      <c r="G238" s="40"/>
      <c r="H238" s="40"/>
      <c r="I238" s="40"/>
    </row>
    <row r="239" spans="1:9" ht="12.6" customHeight="1" x14ac:dyDescent="0.25">
      <c r="A239" s="12">
        <v>91</v>
      </c>
      <c r="B239" s="11"/>
      <c r="C239" s="15" t="s">
        <v>11</v>
      </c>
      <c r="D239" s="14" t="s">
        <v>85</v>
      </c>
      <c r="E239" s="19">
        <v>10.6</v>
      </c>
      <c r="F239" s="19"/>
      <c r="G239" s="40"/>
      <c r="H239" s="40"/>
      <c r="I239" s="40"/>
    </row>
    <row r="240" spans="1:9" ht="12.6" customHeight="1" x14ac:dyDescent="0.25">
      <c r="A240" s="12">
        <v>92</v>
      </c>
      <c r="B240" s="11"/>
      <c r="C240" s="15" t="s">
        <v>13</v>
      </c>
      <c r="D240" s="14" t="s">
        <v>85</v>
      </c>
      <c r="E240" s="19">
        <v>9.1999999999999993</v>
      </c>
      <c r="F240" s="19"/>
      <c r="G240" s="40"/>
      <c r="H240" s="40"/>
      <c r="I240" s="40"/>
    </row>
    <row r="241" spans="1:11" ht="12.6" customHeight="1" x14ac:dyDescent="0.25">
      <c r="A241" s="12">
        <v>93</v>
      </c>
      <c r="B241" s="1"/>
      <c r="C241" s="15" t="s">
        <v>14</v>
      </c>
      <c r="D241" s="14" t="s">
        <v>85</v>
      </c>
      <c r="E241" s="19">
        <v>18.899999999999999</v>
      </c>
      <c r="F241" s="19"/>
      <c r="G241" s="40"/>
      <c r="H241" s="40"/>
      <c r="I241" s="40"/>
    </row>
    <row r="242" spans="1:11" ht="27" customHeight="1" x14ac:dyDescent="0.25">
      <c r="A242" s="12">
        <v>94</v>
      </c>
      <c r="B242" s="11" t="s">
        <v>88</v>
      </c>
      <c r="C242" s="17" t="s">
        <v>89</v>
      </c>
      <c r="D242" s="9"/>
      <c r="E242" s="57">
        <f>+E256+E257+E259+E258+E255+E260+E261+E263+E262+E264+E265+E243</f>
        <v>5360.5</v>
      </c>
      <c r="F242" s="57">
        <f>+F256+F257+F259+F258+F255+F260+F261+F263+F262+F264+F265+F243</f>
        <v>839.3</v>
      </c>
      <c r="G242" s="40"/>
      <c r="H242" s="40"/>
      <c r="I242" s="40"/>
      <c r="K242" s="48"/>
    </row>
    <row r="243" spans="1:11" ht="12.6" customHeight="1" x14ac:dyDescent="0.25">
      <c r="A243" s="12">
        <v>95</v>
      </c>
      <c r="B243" s="1"/>
      <c r="C243" s="16" t="s">
        <v>184</v>
      </c>
      <c r="D243" s="14"/>
      <c r="E243" s="19">
        <f>+E244+E245+E246+E247+E248+E249+E250+E251</f>
        <v>2824</v>
      </c>
      <c r="F243" s="19">
        <f>+F244+F245+F246+F247+F248+F249+F250+F251</f>
        <v>0</v>
      </c>
      <c r="G243" s="40"/>
      <c r="H243" s="40"/>
      <c r="I243" s="40"/>
    </row>
    <row r="244" spans="1:11" ht="12.6" customHeight="1" x14ac:dyDescent="0.25">
      <c r="A244" s="34" t="s">
        <v>351</v>
      </c>
      <c r="B244" s="1"/>
      <c r="C244" s="149" t="s">
        <v>3</v>
      </c>
      <c r="D244" s="1" t="s">
        <v>148</v>
      </c>
      <c r="E244" s="19">
        <f>22.5+20</f>
        <v>42.5</v>
      </c>
      <c r="F244" s="19"/>
      <c r="G244" s="40"/>
      <c r="H244" s="40"/>
      <c r="I244" s="40"/>
    </row>
    <row r="245" spans="1:11" ht="27" customHeight="1" x14ac:dyDescent="0.25">
      <c r="A245" s="34" t="s">
        <v>352</v>
      </c>
      <c r="B245" s="1"/>
      <c r="C245" s="146" t="s">
        <v>245</v>
      </c>
      <c r="D245" s="150" t="s">
        <v>131</v>
      </c>
      <c r="E245" s="19">
        <v>368.2</v>
      </c>
      <c r="F245" s="19"/>
      <c r="G245" s="40"/>
      <c r="H245" s="40"/>
      <c r="I245" s="40"/>
    </row>
    <row r="246" spans="1:11" ht="12.6" customHeight="1" x14ac:dyDescent="0.25">
      <c r="A246" s="34" t="s">
        <v>353</v>
      </c>
      <c r="B246" s="1"/>
      <c r="C246" s="146" t="s">
        <v>217</v>
      </c>
      <c r="D246" s="150" t="s">
        <v>91</v>
      </c>
      <c r="E246" s="19">
        <v>1720</v>
      </c>
      <c r="F246" s="19"/>
      <c r="G246" s="40"/>
      <c r="H246" s="40"/>
      <c r="I246" s="40"/>
    </row>
    <row r="247" spans="1:11" ht="12.6" customHeight="1" x14ac:dyDescent="0.25">
      <c r="A247" s="34" t="s">
        <v>354</v>
      </c>
      <c r="B247" s="1"/>
      <c r="C247" s="146" t="s">
        <v>150</v>
      </c>
      <c r="D247" s="150" t="s">
        <v>91</v>
      </c>
      <c r="E247" s="19">
        <f>100</f>
        <v>100</v>
      </c>
      <c r="F247" s="19"/>
      <c r="G247" s="40"/>
      <c r="H247" s="40"/>
      <c r="I247" s="40"/>
    </row>
    <row r="248" spans="1:11" ht="26.4" x14ac:dyDescent="0.25">
      <c r="A248" s="34" t="s">
        <v>355</v>
      </c>
      <c r="B248" s="1"/>
      <c r="C248" s="146" t="s">
        <v>722</v>
      </c>
      <c r="D248" s="150" t="s">
        <v>91</v>
      </c>
      <c r="E248" s="19">
        <v>27</v>
      </c>
      <c r="F248" s="19"/>
      <c r="G248" s="40"/>
      <c r="H248" s="40"/>
      <c r="I248" s="40"/>
    </row>
    <row r="249" spans="1:11" ht="12.6" customHeight="1" x14ac:dyDescent="0.25">
      <c r="A249" s="34" t="s">
        <v>716</v>
      </c>
      <c r="B249" s="1"/>
      <c r="C249" s="146" t="s">
        <v>706</v>
      </c>
      <c r="D249" s="150" t="s">
        <v>91</v>
      </c>
      <c r="E249" s="19">
        <v>37</v>
      </c>
      <c r="F249" s="19"/>
      <c r="G249" s="40"/>
      <c r="H249" s="40"/>
      <c r="I249" s="40"/>
    </row>
    <row r="250" spans="1:11" ht="26.4" x14ac:dyDescent="0.25">
      <c r="A250" s="34" t="s">
        <v>717</v>
      </c>
      <c r="B250" s="1"/>
      <c r="C250" s="146" t="s">
        <v>723</v>
      </c>
      <c r="D250" s="150" t="s">
        <v>91</v>
      </c>
      <c r="E250" s="19">
        <v>53</v>
      </c>
      <c r="F250" s="19"/>
      <c r="G250" s="40"/>
      <c r="H250" s="40"/>
      <c r="I250" s="40"/>
    </row>
    <row r="251" spans="1:11" ht="41.4" x14ac:dyDescent="0.25">
      <c r="A251" s="34" t="s">
        <v>718</v>
      </c>
      <c r="B251" s="1"/>
      <c r="C251" s="60" t="s">
        <v>464</v>
      </c>
      <c r="D251" s="11"/>
      <c r="E251" s="63">
        <f>+E252+E253+E254</f>
        <v>476.3</v>
      </c>
      <c r="F251" s="63">
        <f>+F252+F253+F254</f>
        <v>0</v>
      </c>
      <c r="G251" s="40"/>
      <c r="H251" s="40"/>
      <c r="I251" s="40"/>
    </row>
    <row r="252" spans="1:11" ht="12.6" customHeight="1" x14ac:dyDescent="0.25">
      <c r="A252" s="34" t="s">
        <v>719</v>
      </c>
      <c r="B252" s="1"/>
      <c r="C252" s="29" t="s">
        <v>193</v>
      </c>
      <c r="D252" s="1" t="s">
        <v>166</v>
      </c>
      <c r="E252" s="19">
        <f>100+130</f>
        <v>230</v>
      </c>
      <c r="F252" s="63"/>
      <c r="G252" s="40"/>
      <c r="H252" s="40"/>
      <c r="I252" s="40"/>
    </row>
    <row r="253" spans="1:11" ht="26.4" x14ac:dyDescent="0.25">
      <c r="A253" s="34" t="s">
        <v>720</v>
      </c>
      <c r="B253" s="1"/>
      <c r="C253" s="35" t="s">
        <v>160</v>
      </c>
      <c r="D253" s="150" t="s">
        <v>91</v>
      </c>
      <c r="E253" s="36">
        <f>74.3+151</f>
        <v>225.3</v>
      </c>
      <c r="F253" s="19"/>
      <c r="G253" s="40"/>
      <c r="H253" s="40"/>
      <c r="I253" s="40"/>
    </row>
    <row r="254" spans="1:11" ht="39.6" x14ac:dyDescent="0.25">
      <c r="A254" s="34" t="s">
        <v>721</v>
      </c>
      <c r="B254" s="1"/>
      <c r="C254" s="35" t="s">
        <v>218</v>
      </c>
      <c r="D254" s="1" t="s">
        <v>148</v>
      </c>
      <c r="E254" s="36">
        <v>21</v>
      </c>
      <c r="F254" s="19"/>
      <c r="G254" s="40"/>
      <c r="H254" s="40"/>
      <c r="I254" s="40"/>
    </row>
    <row r="255" spans="1:11" ht="39.6" x14ac:dyDescent="0.25">
      <c r="A255" s="12">
        <v>96</v>
      </c>
      <c r="B255" s="1"/>
      <c r="C255" s="62" t="s">
        <v>8</v>
      </c>
      <c r="D255" s="148" t="s">
        <v>92</v>
      </c>
      <c r="E255" s="19">
        <f>1381.5+70+10+5</f>
        <v>1466.5</v>
      </c>
      <c r="F255" s="19">
        <v>161.80000000000001</v>
      </c>
      <c r="G255" s="40"/>
      <c r="H255" s="40"/>
      <c r="I255" s="40"/>
    </row>
    <row r="256" spans="1:11" ht="26.4" x14ac:dyDescent="0.25">
      <c r="A256" s="12">
        <v>97</v>
      </c>
      <c r="B256" s="1"/>
      <c r="C256" s="15" t="s">
        <v>4</v>
      </c>
      <c r="D256" s="148" t="s">
        <v>90</v>
      </c>
      <c r="E256" s="19">
        <v>142.69999999999999</v>
      </c>
      <c r="F256" s="19">
        <v>85.7</v>
      </c>
      <c r="G256" s="40"/>
      <c r="H256" s="40"/>
      <c r="I256" s="40"/>
    </row>
    <row r="257" spans="1:12" ht="12.6" customHeight="1" x14ac:dyDescent="0.25">
      <c r="A257" s="12">
        <v>98</v>
      </c>
      <c r="B257" s="1"/>
      <c r="C257" s="15" t="s">
        <v>5</v>
      </c>
      <c r="D257" s="148" t="s">
        <v>91</v>
      </c>
      <c r="E257" s="19">
        <f>117.7+10</f>
        <v>127.7</v>
      </c>
      <c r="F257" s="19">
        <v>76.3</v>
      </c>
      <c r="G257" s="40"/>
      <c r="H257" s="40"/>
      <c r="I257" s="40"/>
    </row>
    <row r="258" spans="1:12" ht="24.9" customHeight="1" x14ac:dyDescent="0.25">
      <c r="A258" s="12">
        <v>99</v>
      </c>
      <c r="B258" s="1"/>
      <c r="C258" s="15" t="s">
        <v>7</v>
      </c>
      <c r="D258" s="148" t="s">
        <v>90</v>
      </c>
      <c r="E258" s="19">
        <v>94.6</v>
      </c>
      <c r="F258" s="19">
        <v>58.4</v>
      </c>
      <c r="G258" s="40"/>
      <c r="H258" s="40"/>
      <c r="I258" s="40"/>
    </row>
    <row r="259" spans="1:12" ht="24.9" customHeight="1" x14ac:dyDescent="0.25">
      <c r="A259" s="12">
        <v>100</v>
      </c>
      <c r="B259" s="1"/>
      <c r="C259" s="62" t="s">
        <v>6</v>
      </c>
      <c r="D259" s="148" t="s">
        <v>90</v>
      </c>
      <c r="E259" s="19">
        <v>109.5</v>
      </c>
      <c r="F259" s="19">
        <v>66.599999999999994</v>
      </c>
      <c r="G259" s="40"/>
      <c r="H259" s="40"/>
      <c r="I259" s="40"/>
    </row>
    <row r="260" spans="1:12" ht="12.6" customHeight="1" x14ac:dyDescent="0.25">
      <c r="A260" s="12">
        <v>101</v>
      </c>
      <c r="B260" s="1"/>
      <c r="C260" s="15" t="s">
        <v>9</v>
      </c>
      <c r="D260" s="148" t="s">
        <v>93</v>
      </c>
      <c r="E260" s="19">
        <v>83.8</v>
      </c>
      <c r="F260" s="19">
        <v>54.2</v>
      </c>
      <c r="G260" s="40"/>
      <c r="H260" s="40"/>
      <c r="I260" s="40"/>
    </row>
    <row r="261" spans="1:12" ht="24.9" customHeight="1" x14ac:dyDescent="0.25">
      <c r="A261" s="12">
        <v>102</v>
      </c>
      <c r="B261" s="1"/>
      <c r="C261" s="16" t="s">
        <v>10</v>
      </c>
      <c r="D261" s="148" t="s">
        <v>90</v>
      </c>
      <c r="E261" s="19">
        <v>90.4</v>
      </c>
      <c r="F261" s="19">
        <v>66.099999999999994</v>
      </c>
      <c r="G261" s="40"/>
      <c r="H261" s="40"/>
      <c r="I261" s="40"/>
    </row>
    <row r="262" spans="1:12" ht="24.9" customHeight="1" x14ac:dyDescent="0.25">
      <c r="A262" s="12">
        <v>103</v>
      </c>
      <c r="B262" s="1"/>
      <c r="C262" s="15" t="s">
        <v>12</v>
      </c>
      <c r="D262" s="148" t="s">
        <v>90</v>
      </c>
      <c r="E262" s="19">
        <v>56.3</v>
      </c>
      <c r="F262" s="19">
        <v>35.6</v>
      </c>
      <c r="G262" s="40"/>
      <c r="H262" s="40"/>
      <c r="I262" s="40"/>
    </row>
    <row r="263" spans="1:12" ht="29.25" customHeight="1" x14ac:dyDescent="0.25">
      <c r="A263" s="12">
        <v>104</v>
      </c>
      <c r="B263" s="1"/>
      <c r="C263" s="62" t="s">
        <v>11</v>
      </c>
      <c r="D263" s="148" t="s">
        <v>90</v>
      </c>
      <c r="E263" s="19">
        <v>83</v>
      </c>
      <c r="F263" s="19">
        <v>52</v>
      </c>
      <c r="G263" s="40"/>
      <c r="H263" s="40"/>
      <c r="I263" s="40"/>
    </row>
    <row r="264" spans="1:12" ht="27" customHeight="1" x14ac:dyDescent="0.25">
      <c r="A264" s="12">
        <v>105</v>
      </c>
      <c r="B264" s="1"/>
      <c r="C264" s="15" t="s">
        <v>13</v>
      </c>
      <c r="D264" s="148" t="s">
        <v>90</v>
      </c>
      <c r="E264" s="19">
        <v>83.1</v>
      </c>
      <c r="F264" s="19">
        <v>48.3</v>
      </c>
      <c r="G264" s="40"/>
      <c r="H264" s="40"/>
      <c r="I264" s="40"/>
    </row>
    <row r="265" spans="1:12" ht="24.9" customHeight="1" x14ac:dyDescent="0.25">
      <c r="A265" s="12">
        <v>106</v>
      </c>
      <c r="B265" s="1"/>
      <c r="C265" s="15" t="s">
        <v>14</v>
      </c>
      <c r="D265" s="148" t="s">
        <v>90</v>
      </c>
      <c r="E265" s="19">
        <v>198.9</v>
      </c>
      <c r="F265" s="19">
        <v>134.30000000000001</v>
      </c>
      <c r="G265" s="40"/>
      <c r="H265" s="40"/>
      <c r="I265" s="40"/>
    </row>
    <row r="266" spans="1:12" x14ac:dyDescent="0.25">
      <c r="A266" s="12">
        <v>107</v>
      </c>
      <c r="B266" s="11" t="s">
        <v>32</v>
      </c>
      <c r="C266" s="17" t="s">
        <v>33</v>
      </c>
      <c r="D266" s="148"/>
      <c r="E266" s="63">
        <f>+E267</f>
        <v>77</v>
      </c>
      <c r="F266" s="57">
        <f>+F267</f>
        <v>0</v>
      </c>
      <c r="G266" s="40"/>
      <c r="H266" s="40"/>
      <c r="I266" s="40"/>
    </row>
    <row r="267" spans="1:12" ht="12.6" customHeight="1" x14ac:dyDescent="0.25">
      <c r="A267" s="12">
        <v>108</v>
      </c>
      <c r="B267" s="11"/>
      <c r="C267" s="16" t="s">
        <v>202</v>
      </c>
      <c r="D267" s="148"/>
      <c r="E267" s="19">
        <f>+E269+E268</f>
        <v>77</v>
      </c>
      <c r="F267" s="19">
        <f>+F269+F268</f>
        <v>0</v>
      </c>
      <c r="G267" s="40"/>
      <c r="H267" s="40"/>
      <c r="I267" s="40"/>
    </row>
    <row r="268" spans="1:12" ht="12.6" customHeight="1" x14ac:dyDescent="0.25">
      <c r="A268" s="12" t="s">
        <v>356</v>
      </c>
      <c r="B268" s="11"/>
      <c r="C268" s="16" t="s">
        <v>98</v>
      </c>
      <c r="D268" s="155"/>
      <c r="E268" s="19">
        <v>3</v>
      </c>
      <c r="F268" s="156"/>
      <c r="G268" s="40"/>
      <c r="H268" s="40"/>
      <c r="I268" s="40"/>
    </row>
    <row r="269" spans="1:12" ht="41.4" x14ac:dyDescent="0.25">
      <c r="A269" s="34" t="s">
        <v>676</v>
      </c>
      <c r="B269" s="1"/>
      <c r="C269" s="60" t="s">
        <v>464</v>
      </c>
      <c r="D269" s="69"/>
      <c r="E269" s="63">
        <f>+E270+E271</f>
        <v>74</v>
      </c>
      <c r="F269" s="63">
        <f>+F270+F271</f>
        <v>0</v>
      </c>
      <c r="G269" s="40"/>
      <c r="H269" s="40"/>
      <c r="I269" s="40"/>
    </row>
    <row r="270" spans="1:12" ht="26.4" x14ac:dyDescent="0.25">
      <c r="A270" s="67" t="s">
        <v>677</v>
      </c>
      <c r="B270" s="1"/>
      <c r="C270" s="15" t="s">
        <v>219</v>
      </c>
      <c r="D270" s="148" t="s">
        <v>149</v>
      </c>
      <c r="E270" s="19">
        <f>40+20</f>
        <v>60</v>
      </c>
      <c r="F270" s="19"/>
      <c r="G270" s="40"/>
      <c r="H270" s="40"/>
      <c r="I270" s="40"/>
    </row>
    <row r="271" spans="1:12" x14ac:dyDescent="0.25">
      <c r="A271" s="67" t="s">
        <v>678</v>
      </c>
      <c r="B271" s="1"/>
      <c r="C271" s="15" t="s">
        <v>496</v>
      </c>
      <c r="D271" s="14" t="s">
        <v>244</v>
      </c>
      <c r="E271" s="19">
        <f>10+4</f>
        <v>14</v>
      </c>
      <c r="F271" s="19"/>
      <c r="G271" s="40"/>
      <c r="H271" s="40"/>
      <c r="I271" s="40"/>
      <c r="L271" s="103"/>
    </row>
    <row r="272" spans="1:12" x14ac:dyDescent="0.25">
      <c r="A272" s="12">
        <v>109</v>
      </c>
      <c r="B272" s="11" t="s">
        <v>94</v>
      </c>
      <c r="C272" s="17" t="s">
        <v>95</v>
      </c>
      <c r="D272" s="9"/>
      <c r="E272" s="57">
        <f>+E273</f>
        <v>109</v>
      </c>
      <c r="F272" s="57">
        <f>+F273</f>
        <v>0</v>
      </c>
      <c r="G272" s="40"/>
      <c r="H272" s="40"/>
      <c r="I272" s="40"/>
    </row>
    <row r="273" spans="1:11" ht="12.6" customHeight="1" x14ac:dyDescent="0.25">
      <c r="A273" s="12">
        <v>110</v>
      </c>
      <c r="B273" s="11"/>
      <c r="C273" s="16" t="s">
        <v>184</v>
      </c>
      <c r="D273" s="9"/>
      <c r="E273" s="19">
        <f>+E275+E276+E274</f>
        <v>109</v>
      </c>
      <c r="F273" s="19">
        <f>+F275+F276+F274</f>
        <v>0</v>
      </c>
      <c r="G273" s="40"/>
      <c r="H273" s="40"/>
      <c r="I273" s="40"/>
    </row>
    <row r="274" spans="1:11" ht="12.6" customHeight="1" x14ac:dyDescent="0.25">
      <c r="A274" s="67" t="s">
        <v>357</v>
      </c>
      <c r="B274" s="11"/>
      <c r="C274" s="62" t="s">
        <v>98</v>
      </c>
      <c r="D274" s="14" t="s">
        <v>643</v>
      </c>
      <c r="E274" s="19">
        <v>3</v>
      </c>
      <c r="F274" s="19"/>
      <c r="G274" s="40"/>
      <c r="H274" s="40"/>
      <c r="I274" s="40"/>
    </row>
    <row r="275" spans="1:11" ht="26.4" x14ac:dyDescent="0.25">
      <c r="A275" s="67" t="s">
        <v>358</v>
      </c>
      <c r="B275" s="1"/>
      <c r="C275" s="62" t="s">
        <v>220</v>
      </c>
      <c r="D275" s="14" t="s">
        <v>96</v>
      </c>
      <c r="E275" s="19">
        <v>36</v>
      </c>
      <c r="F275" s="19"/>
      <c r="G275" s="40"/>
      <c r="H275" s="40"/>
      <c r="I275" s="40"/>
    </row>
    <row r="276" spans="1:11" ht="39.6" x14ac:dyDescent="0.25">
      <c r="A276" s="67" t="s">
        <v>624</v>
      </c>
      <c r="B276" s="1"/>
      <c r="C276" s="62" t="s">
        <v>497</v>
      </c>
      <c r="D276" s="14" t="s">
        <v>96</v>
      </c>
      <c r="E276" s="19">
        <v>70</v>
      </c>
      <c r="F276" s="19"/>
      <c r="G276" s="40"/>
      <c r="H276" s="40"/>
      <c r="I276" s="40"/>
    </row>
    <row r="277" spans="1:11" x14ac:dyDescent="0.25">
      <c r="A277" s="12">
        <v>111</v>
      </c>
      <c r="B277" s="11" t="s">
        <v>25</v>
      </c>
      <c r="C277" s="17" t="s">
        <v>26</v>
      </c>
      <c r="D277" s="9"/>
      <c r="E277" s="57">
        <f>+E278+E279+E280+E289+E291+E293+E294+E296+E298+E300+E301+E303+E304+E306</f>
        <v>7047.6000000000013</v>
      </c>
      <c r="F277" s="57">
        <f>+F278+F279+F280+F289+F291+F293+F294+F296+F298+F300+F301+F303+F304+F306</f>
        <v>3825.3000000000006</v>
      </c>
      <c r="G277" s="40"/>
      <c r="H277" s="40"/>
      <c r="I277" s="40"/>
      <c r="K277" s="48"/>
    </row>
    <row r="278" spans="1:11" x14ac:dyDescent="0.25">
      <c r="A278" s="12">
        <v>112</v>
      </c>
      <c r="B278" s="11"/>
      <c r="C278" s="15" t="s">
        <v>27</v>
      </c>
      <c r="D278" s="14" t="s">
        <v>28</v>
      </c>
      <c r="E278" s="19">
        <v>78.599999999999994</v>
      </c>
      <c r="F278" s="19">
        <v>11.9</v>
      </c>
      <c r="G278" s="40"/>
      <c r="H278" s="40"/>
      <c r="I278" s="40"/>
    </row>
    <row r="279" spans="1:11" x14ac:dyDescent="0.25">
      <c r="A279" s="12">
        <v>113</v>
      </c>
      <c r="B279" s="11"/>
      <c r="C279" s="16" t="s">
        <v>97</v>
      </c>
      <c r="D279" s="14" t="s">
        <v>110</v>
      </c>
      <c r="E279" s="19">
        <v>153.5</v>
      </c>
      <c r="F279" s="19">
        <v>140.80000000000001</v>
      </c>
      <c r="G279" s="40"/>
      <c r="H279" s="40"/>
      <c r="I279" s="40"/>
    </row>
    <row r="280" spans="1:11" x14ac:dyDescent="0.25">
      <c r="A280" s="12">
        <v>114</v>
      </c>
      <c r="B280" s="11"/>
      <c r="C280" s="16" t="s">
        <v>184</v>
      </c>
      <c r="D280" s="14"/>
      <c r="E280" s="19">
        <f>+E281+E282+E283+E284+E285+E286+E287+E288</f>
        <v>5663.7000000000007</v>
      </c>
      <c r="F280" s="19">
        <f>+F281+F282+F283+F284+F285+F286+F287+F288</f>
        <v>2836.1000000000004</v>
      </c>
      <c r="G280" s="40"/>
      <c r="H280" s="40"/>
      <c r="I280" s="40"/>
    </row>
    <row r="281" spans="1:11" ht="92.4" x14ac:dyDescent="0.25">
      <c r="A281" s="67" t="s">
        <v>321</v>
      </c>
      <c r="B281" s="11"/>
      <c r="C281" s="16" t="s">
        <v>98</v>
      </c>
      <c r="D281" s="14" t="s">
        <v>130</v>
      </c>
      <c r="E281" s="19">
        <f>4718.8-18.5-18.3-10-3-74.5+1.1</f>
        <v>4595.6000000000004</v>
      </c>
      <c r="F281" s="19">
        <f>2872.3-18.2-18</f>
        <v>2836.1000000000004</v>
      </c>
      <c r="G281" s="40"/>
      <c r="H281" s="40"/>
      <c r="I281" s="40"/>
    </row>
    <row r="282" spans="1:11" ht="26.4" x14ac:dyDescent="0.25">
      <c r="A282" s="67" t="s">
        <v>322</v>
      </c>
      <c r="B282" s="1"/>
      <c r="C282" s="62" t="s">
        <v>151</v>
      </c>
      <c r="D282" s="14" t="s">
        <v>121</v>
      </c>
      <c r="E282" s="19">
        <v>55</v>
      </c>
      <c r="F282" s="19"/>
      <c r="G282" s="40"/>
      <c r="H282" s="40"/>
      <c r="I282" s="40"/>
    </row>
    <row r="283" spans="1:11" ht="12.6" customHeight="1" x14ac:dyDescent="0.25">
      <c r="A283" s="67" t="s">
        <v>323</v>
      </c>
      <c r="B283" s="1"/>
      <c r="C283" s="62" t="s">
        <v>499</v>
      </c>
      <c r="D283" s="14" t="s">
        <v>36</v>
      </c>
      <c r="E283" s="19">
        <v>30</v>
      </c>
      <c r="F283" s="19"/>
      <c r="G283" s="40"/>
      <c r="H283" s="40"/>
      <c r="I283" s="40"/>
    </row>
    <row r="284" spans="1:11" x14ac:dyDescent="0.25">
      <c r="A284" s="67" t="s">
        <v>359</v>
      </c>
      <c r="B284" s="1"/>
      <c r="C284" s="62" t="s">
        <v>498</v>
      </c>
      <c r="D284" s="14" t="s">
        <v>100</v>
      </c>
      <c r="E284" s="19">
        <v>800</v>
      </c>
      <c r="F284" s="19"/>
      <c r="G284" s="40"/>
      <c r="H284" s="40"/>
      <c r="I284" s="40"/>
    </row>
    <row r="285" spans="1:11" x14ac:dyDescent="0.25">
      <c r="A285" s="67" t="s">
        <v>360</v>
      </c>
      <c r="B285" s="1"/>
      <c r="C285" s="62" t="s">
        <v>229</v>
      </c>
      <c r="D285" s="14" t="s">
        <v>36</v>
      </c>
      <c r="E285" s="19">
        <v>15</v>
      </c>
      <c r="F285" s="19"/>
      <c r="G285" s="40"/>
      <c r="H285" s="40"/>
      <c r="I285" s="40"/>
    </row>
    <row r="286" spans="1:11" ht="26.4" x14ac:dyDescent="0.25">
      <c r="A286" s="67" t="s">
        <v>361</v>
      </c>
      <c r="B286" s="1"/>
      <c r="C286" s="62" t="s">
        <v>194</v>
      </c>
      <c r="D286" s="14" t="s">
        <v>99</v>
      </c>
      <c r="E286" s="19">
        <v>25</v>
      </c>
      <c r="F286" s="19"/>
      <c r="G286" s="40"/>
      <c r="H286" s="40"/>
      <c r="I286" s="40"/>
    </row>
    <row r="287" spans="1:11" ht="12.6" customHeight="1" x14ac:dyDescent="0.25">
      <c r="A287" s="67" t="s">
        <v>362</v>
      </c>
      <c r="B287" s="1"/>
      <c r="C287" s="62" t="s">
        <v>221</v>
      </c>
      <c r="D287" s="14" t="s">
        <v>101</v>
      </c>
      <c r="E287" s="19">
        <v>95</v>
      </c>
      <c r="F287" s="19"/>
      <c r="G287" s="40"/>
      <c r="H287" s="40"/>
      <c r="I287" s="40"/>
    </row>
    <row r="288" spans="1:11" ht="12.6" customHeight="1" x14ac:dyDescent="0.25">
      <c r="A288" s="67" t="s">
        <v>363</v>
      </c>
      <c r="B288" s="1"/>
      <c r="C288" s="62" t="s">
        <v>366</v>
      </c>
      <c r="D288" s="14" t="s">
        <v>380</v>
      </c>
      <c r="E288" s="19">
        <v>48.1</v>
      </c>
      <c r="F288" s="19"/>
      <c r="G288" s="40"/>
      <c r="H288" s="40"/>
      <c r="I288" s="40"/>
    </row>
    <row r="289" spans="1:9" ht="25.5" customHeight="1" x14ac:dyDescent="0.25">
      <c r="A289" s="168">
        <v>115</v>
      </c>
      <c r="B289" s="170"/>
      <c r="C289" s="15" t="s">
        <v>8</v>
      </c>
      <c r="D289" s="14" t="s">
        <v>370</v>
      </c>
      <c r="E289" s="19">
        <f>+E290+166.5</f>
        <v>185.7</v>
      </c>
      <c r="F289" s="19">
        <f>+F290+131.9</f>
        <v>150.80000000000001</v>
      </c>
      <c r="G289" s="40"/>
      <c r="H289" s="40"/>
      <c r="I289" s="40"/>
    </row>
    <row r="290" spans="1:9" x14ac:dyDescent="0.25">
      <c r="A290" s="169"/>
      <c r="B290" s="171"/>
      <c r="C290" s="15" t="s">
        <v>369</v>
      </c>
      <c r="D290" s="14" t="s">
        <v>37</v>
      </c>
      <c r="E290" s="19">
        <v>19.2</v>
      </c>
      <c r="F290" s="19">
        <v>18.899999999999999</v>
      </c>
      <c r="G290" s="40"/>
      <c r="H290" s="40"/>
      <c r="I290" s="40"/>
    </row>
    <row r="291" spans="1:9" ht="26.4" x14ac:dyDescent="0.25">
      <c r="A291" s="168">
        <v>116</v>
      </c>
      <c r="B291" s="170"/>
      <c r="C291" s="15" t="s">
        <v>4</v>
      </c>
      <c r="D291" s="14" t="s">
        <v>370</v>
      </c>
      <c r="E291" s="19">
        <f>+E292+57.6</f>
        <v>60.800000000000004</v>
      </c>
      <c r="F291" s="19">
        <f>+F292+47.9</f>
        <v>51.1</v>
      </c>
      <c r="G291" s="40"/>
      <c r="H291" s="40"/>
      <c r="I291" s="40"/>
    </row>
    <row r="292" spans="1:9" x14ac:dyDescent="0.25">
      <c r="A292" s="169"/>
      <c r="B292" s="171"/>
      <c r="C292" s="15" t="s">
        <v>369</v>
      </c>
      <c r="D292" s="14" t="s">
        <v>37</v>
      </c>
      <c r="E292" s="19">
        <v>3.2</v>
      </c>
      <c r="F292" s="19">
        <v>3.2</v>
      </c>
      <c r="G292" s="40"/>
      <c r="H292" s="40"/>
      <c r="I292" s="40"/>
    </row>
    <row r="293" spans="1:9" ht="26.4" x14ac:dyDescent="0.25">
      <c r="A293" s="65">
        <v>117</v>
      </c>
      <c r="B293" s="33"/>
      <c r="C293" s="15" t="s">
        <v>5</v>
      </c>
      <c r="D293" s="14" t="s">
        <v>370</v>
      </c>
      <c r="E293" s="19">
        <f>104.6</f>
        <v>104.6</v>
      </c>
      <c r="F293" s="19">
        <f>71.1</f>
        <v>71.099999999999994</v>
      </c>
      <c r="G293" s="40"/>
      <c r="H293" s="40"/>
      <c r="I293" s="40"/>
    </row>
    <row r="294" spans="1:9" ht="26.4" x14ac:dyDescent="0.25">
      <c r="A294" s="168">
        <v>118</v>
      </c>
      <c r="B294" s="170"/>
      <c r="C294" s="15" t="s">
        <v>7</v>
      </c>
      <c r="D294" s="14" t="s">
        <v>370</v>
      </c>
      <c r="E294" s="19">
        <f>+E295+78</f>
        <v>84.4</v>
      </c>
      <c r="F294" s="19">
        <f>+F295+56.2</f>
        <v>62.5</v>
      </c>
      <c r="G294" s="40"/>
      <c r="H294" s="40"/>
      <c r="I294" s="40"/>
    </row>
    <row r="295" spans="1:9" x14ac:dyDescent="0.25">
      <c r="A295" s="169"/>
      <c r="B295" s="171"/>
      <c r="C295" s="15" t="s">
        <v>369</v>
      </c>
      <c r="D295" s="14" t="s">
        <v>37</v>
      </c>
      <c r="E295" s="19">
        <v>6.4</v>
      </c>
      <c r="F295" s="19">
        <v>6.3</v>
      </c>
      <c r="G295" s="40"/>
      <c r="H295" s="40"/>
      <c r="I295" s="40"/>
    </row>
    <row r="296" spans="1:9" ht="26.4" x14ac:dyDescent="0.25">
      <c r="A296" s="168">
        <v>119</v>
      </c>
      <c r="B296" s="170"/>
      <c r="C296" s="15" t="s">
        <v>6</v>
      </c>
      <c r="D296" s="14" t="s">
        <v>370</v>
      </c>
      <c r="E296" s="19">
        <f>+E297+68.3</f>
        <v>71.5</v>
      </c>
      <c r="F296" s="19">
        <f>+F297+55.2</f>
        <v>58.400000000000006</v>
      </c>
      <c r="G296" s="40"/>
      <c r="H296" s="40"/>
      <c r="I296" s="40"/>
    </row>
    <row r="297" spans="1:9" x14ac:dyDescent="0.25">
      <c r="A297" s="169"/>
      <c r="B297" s="171"/>
      <c r="C297" s="15" t="s">
        <v>369</v>
      </c>
      <c r="D297" s="14" t="s">
        <v>37</v>
      </c>
      <c r="E297" s="19">
        <v>3.2</v>
      </c>
      <c r="F297" s="19">
        <v>3.2</v>
      </c>
      <c r="G297" s="40"/>
      <c r="H297" s="40"/>
      <c r="I297" s="40"/>
    </row>
    <row r="298" spans="1:9" ht="26.4" x14ac:dyDescent="0.25">
      <c r="A298" s="168">
        <v>120</v>
      </c>
      <c r="B298" s="170"/>
      <c r="C298" s="15" t="s">
        <v>9</v>
      </c>
      <c r="D298" s="14" t="s">
        <v>370</v>
      </c>
      <c r="E298" s="19">
        <f>+E299+82.9</f>
        <v>89.300000000000011</v>
      </c>
      <c r="F298" s="19">
        <f>+F299+61.6</f>
        <v>67.900000000000006</v>
      </c>
      <c r="G298" s="40"/>
      <c r="H298" s="40"/>
      <c r="I298" s="40"/>
    </row>
    <row r="299" spans="1:9" x14ac:dyDescent="0.25">
      <c r="A299" s="169"/>
      <c r="B299" s="171"/>
      <c r="C299" s="15" t="s">
        <v>369</v>
      </c>
      <c r="D299" s="14" t="s">
        <v>37</v>
      </c>
      <c r="E299" s="19">
        <v>6.4</v>
      </c>
      <c r="F299" s="19">
        <v>6.3</v>
      </c>
      <c r="G299" s="40"/>
      <c r="H299" s="40"/>
      <c r="I299" s="40"/>
    </row>
    <row r="300" spans="1:9" ht="26.4" x14ac:dyDescent="0.25">
      <c r="A300" s="65">
        <v>121</v>
      </c>
      <c r="B300" s="33"/>
      <c r="C300" s="16" t="s">
        <v>10</v>
      </c>
      <c r="D300" s="14" t="s">
        <v>370</v>
      </c>
      <c r="E300" s="19">
        <f>139.6</f>
        <v>139.6</v>
      </c>
      <c r="F300" s="19">
        <f>91</f>
        <v>91</v>
      </c>
      <c r="G300" s="40"/>
      <c r="H300" s="40"/>
      <c r="I300" s="40"/>
    </row>
    <row r="301" spans="1:9" ht="26.4" x14ac:dyDescent="0.25">
      <c r="A301" s="168">
        <v>122</v>
      </c>
      <c r="B301" s="170"/>
      <c r="C301" s="15" t="s">
        <v>12</v>
      </c>
      <c r="D301" s="14" t="s">
        <v>370</v>
      </c>
      <c r="E301" s="19">
        <f>+E302+77.8</f>
        <v>81</v>
      </c>
      <c r="F301" s="19">
        <f>+F302+61.2</f>
        <v>64.400000000000006</v>
      </c>
      <c r="G301" s="40"/>
      <c r="H301" s="40"/>
      <c r="I301" s="40"/>
    </row>
    <row r="302" spans="1:9" x14ac:dyDescent="0.25">
      <c r="A302" s="169"/>
      <c r="B302" s="171"/>
      <c r="C302" s="15" t="s">
        <v>369</v>
      </c>
      <c r="D302" s="14" t="s">
        <v>37</v>
      </c>
      <c r="E302" s="19">
        <v>3.2</v>
      </c>
      <c r="F302" s="19">
        <v>3.2</v>
      </c>
      <c r="G302" s="40"/>
      <c r="H302" s="40"/>
      <c r="I302" s="40"/>
    </row>
    <row r="303" spans="1:9" ht="26.4" x14ac:dyDescent="0.25">
      <c r="A303" s="65">
        <v>123</v>
      </c>
      <c r="B303" s="33"/>
      <c r="C303" s="15" t="s">
        <v>11</v>
      </c>
      <c r="D303" s="14" t="s">
        <v>370</v>
      </c>
      <c r="E303" s="19">
        <f>95.4</f>
        <v>95.4</v>
      </c>
      <c r="F303" s="19">
        <f>67.1</f>
        <v>67.099999999999994</v>
      </c>
      <c r="G303" s="40"/>
      <c r="H303" s="40"/>
      <c r="I303" s="40"/>
    </row>
    <row r="304" spans="1:9" ht="26.4" x14ac:dyDescent="0.25">
      <c r="A304" s="168">
        <v>124</v>
      </c>
      <c r="B304" s="170"/>
      <c r="C304" s="15" t="s">
        <v>13</v>
      </c>
      <c r="D304" s="14" t="s">
        <v>370</v>
      </c>
      <c r="E304" s="19">
        <f>+E305+92</f>
        <v>95.2</v>
      </c>
      <c r="F304" s="19">
        <f>+F305+63.6</f>
        <v>66.8</v>
      </c>
      <c r="G304" s="40"/>
      <c r="H304" s="40"/>
      <c r="I304" s="40"/>
    </row>
    <row r="305" spans="1:14" x14ac:dyDescent="0.25">
      <c r="A305" s="169"/>
      <c r="B305" s="171"/>
      <c r="C305" s="15" t="s">
        <v>369</v>
      </c>
      <c r="D305" s="14" t="s">
        <v>37</v>
      </c>
      <c r="E305" s="19">
        <v>3.2</v>
      </c>
      <c r="F305" s="19">
        <v>3.2</v>
      </c>
      <c r="G305" s="40"/>
      <c r="H305" s="40"/>
      <c r="I305" s="40"/>
    </row>
    <row r="306" spans="1:14" ht="26.4" x14ac:dyDescent="0.25">
      <c r="A306" s="168">
        <v>125</v>
      </c>
      <c r="B306" s="170"/>
      <c r="C306" s="15" t="s">
        <v>14</v>
      </c>
      <c r="D306" s="14" t="s">
        <v>370</v>
      </c>
      <c r="E306" s="19">
        <f>+E307+137.9</f>
        <v>144.30000000000001</v>
      </c>
      <c r="F306" s="19">
        <f>+F307+79.1</f>
        <v>85.399999999999991</v>
      </c>
      <c r="G306" s="40"/>
      <c r="H306" s="40"/>
      <c r="I306" s="40"/>
    </row>
    <row r="307" spans="1:14" x14ac:dyDescent="0.25">
      <c r="A307" s="169"/>
      <c r="B307" s="171"/>
      <c r="C307" s="15" t="s">
        <v>369</v>
      </c>
      <c r="D307" s="14" t="s">
        <v>37</v>
      </c>
      <c r="E307" s="19">
        <v>6.4</v>
      </c>
      <c r="F307" s="19">
        <v>6.3</v>
      </c>
      <c r="G307" s="40"/>
      <c r="H307" s="40"/>
      <c r="I307" s="40"/>
    </row>
    <row r="308" spans="1:14" ht="13.8" x14ac:dyDescent="0.25">
      <c r="A308" s="12">
        <v>126</v>
      </c>
      <c r="B308" s="1"/>
      <c r="C308" s="70" t="s">
        <v>20</v>
      </c>
      <c r="D308" s="1"/>
      <c r="E308" s="63">
        <f>+E10+E57+E80+E117+E143+E167+E191+E242+E266+E272+E277</f>
        <v>42407.700000000004</v>
      </c>
      <c r="F308" s="63">
        <f>+F10+F57+F80+F117+F143+F167+F191+F242+F266+F272+F277</f>
        <v>20156.2</v>
      </c>
      <c r="G308" s="4"/>
      <c r="H308" s="4"/>
      <c r="I308" s="4"/>
      <c r="J308" s="4"/>
      <c r="K308" s="4"/>
      <c r="L308" s="4"/>
      <c r="M308" s="4"/>
      <c r="N308" s="4"/>
    </row>
    <row r="309" spans="1:14" x14ac:dyDescent="0.25">
      <c r="C309" s="5"/>
      <c r="F309" s="71"/>
    </row>
    <row r="310" spans="1:14" x14ac:dyDescent="0.25">
      <c r="A310" s="2" t="s">
        <v>234</v>
      </c>
      <c r="B310" s="2"/>
      <c r="C310" s="2"/>
      <c r="D310" s="2"/>
      <c r="E310" s="2"/>
      <c r="F310" s="2"/>
    </row>
    <row r="311" spans="1:14" x14ac:dyDescent="0.25">
      <c r="C311" s="73"/>
      <c r="E311" s="71"/>
      <c r="F311" s="71"/>
    </row>
    <row r="312" spans="1:14" x14ac:dyDescent="0.25">
      <c r="C312" s="5"/>
      <c r="E312" s="71"/>
      <c r="F312" s="71"/>
    </row>
    <row r="313" spans="1:14" x14ac:dyDescent="0.25">
      <c r="C313" s="5"/>
      <c r="E313" s="2"/>
    </row>
    <row r="314" spans="1:14" x14ac:dyDescent="0.25">
      <c r="C314" s="5"/>
      <c r="E314" s="2"/>
    </row>
    <row r="315" spans="1:14" x14ac:dyDescent="0.25">
      <c r="G315" s="4"/>
    </row>
    <row r="316" spans="1:14" x14ac:dyDescent="0.25">
      <c r="H316" s="48"/>
    </row>
    <row r="318" spans="1:14" x14ac:dyDescent="0.25">
      <c r="D318" s="151"/>
      <c r="F318" s="71"/>
    </row>
    <row r="319" spans="1:14" x14ac:dyDescent="0.25">
      <c r="D319" s="151"/>
      <c r="F319" s="71"/>
    </row>
    <row r="320" spans="1:14" x14ac:dyDescent="0.25">
      <c r="D320" s="151"/>
      <c r="F320" s="71"/>
    </row>
    <row r="321" spans="5:8" x14ac:dyDescent="0.25">
      <c r="E321" s="71"/>
      <c r="H321" s="48"/>
    </row>
    <row r="322" spans="5:8" x14ac:dyDescent="0.25">
      <c r="E322" s="74"/>
      <c r="F322" s="74"/>
    </row>
    <row r="323" spans="5:8" x14ac:dyDescent="0.25">
      <c r="E323" s="100"/>
      <c r="F323" s="75"/>
      <c r="H323" s="48"/>
    </row>
    <row r="325" spans="5:8" x14ac:dyDescent="0.25">
      <c r="E325" s="71"/>
    </row>
    <row r="327" spans="5:8" x14ac:dyDescent="0.25">
      <c r="E327" s="71"/>
      <c r="F327" s="71"/>
    </row>
    <row r="329" spans="5:8" x14ac:dyDescent="0.25">
      <c r="E329" s="71"/>
      <c r="F329" s="71"/>
    </row>
    <row r="338" spans="5:6" x14ac:dyDescent="0.25">
      <c r="E338" s="71"/>
      <c r="F338" s="71"/>
    </row>
  </sheetData>
  <mergeCells count="36">
    <mergeCell ref="B298:B299"/>
    <mergeCell ref="B296:B297"/>
    <mergeCell ref="A291:A292"/>
    <mergeCell ref="B291:B292"/>
    <mergeCell ref="A306:A307"/>
    <mergeCell ref="B306:B307"/>
    <mergeCell ref="A301:A302"/>
    <mergeCell ref="B301:B302"/>
    <mergeCell ref="A304:A305"/>
    <mergeCell ref="B304:B305"/>
    <mergeCell ref="D121:D125"/>
    <mergeCell ref="A151:A153"/>
    <mergeCell ref="A296:A297"/>
    <mergeCell ref="D168:D169"/>
    <mergeCell ref="A289:A290"/>
    <mergeCell ref="B289:B290"/>
    <mergeCell ref="B151:B153"/>
    <mergeCell ref="D151:D152"/>
    <mergeCell ref="A168:A169"/>
    <mergeCell ref="B168:B169"/>
    <mergeCell ref="A121:A125"/>
    <mergeCell ref="B121:B125"/>
    <mergeCell ref="A294:A295"/>
    <mergeCell ref="B294:B295"/>
    <mergeCell ref="A298:A299"/>
    <mergeCell ref="C1:F1"/>
    <mergeCell ref="C2:F2"/>
    <mergeCell ref="E3:F3"/>
    <mergeCell ref="A5:F5"/>
    <mergeCell ref="A81:A83"/>
    <mergeCell ref="B81:B83"/>
    <mergeCell ref="D81:D83"/>
    <mergeCell ref="A36:A37"/>
    <mergeCell ref="D36:D37"/>
    <mergeCell ref="D58:D59"/>
    <mergeCell ref="A58:A59"/>
  </mergeCells>
  <phoneticPr fontId="14" type="noConversion"/>
  <pageMargins left="0.59055118110236227" right="0" top="0.39370078740157483" bottom="0.19685039370078741" header="0.31496062992125984" footer="0.31496062992125984"/>
  <pageSetup paperSize="9" orientation="portrait" blackAndWhite="1"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zoomScaleNormal="100" workbookViewId="0">
      <selection activeCell="C3" sqref="C3"/>
    </sheetView>
  </sheetViews>
  <sheetFormatPr defaultColWidth="9.109375" defaultRowHeight="13.2" x14ac:dyDescent="0.25"/>
  <cols>
    <col min="1" max="1" width="4.88671875" style="3" customWidth="1"/>
    <col min="2" max="2" width="7.109375" style="58" customWidth="1"/>
    <col min="3" max="3" width="50.33203125" style="3" customWidth="1"/>
    <col min="4" max="4" width="10.33203125" style="7" customWidth="1"/>
    <col min="5" max="5" width="8.109375" style="3" customWidth="1"/>
    <col min="6" max="6" width="11.33203125" style="3" customWidth="1"/>
    <col min="7" max="8" width="9.109375" style="2" customWidth="1"/>
    <col min="9" max="16384" width="9.109375" style="2"/>
  </cols>
  <sheetData>
    <row r="1" spans="1:12" ht="15.75" customHeight="1" x14ac:dyDescent="0.3">
      <c r="C1" s="162" t="s">
        <v>154</v>
      </c>
      <c r="D1" s="162"/>
      <c r="E1" s="162"/>
      <c r="F1" s="162"/>
    </row>
    <row r="2" spans="1:12" ht="15.75" customHeight="1" x14ac:dyDescent="0.3">
      <c r="C2" s="162" t="s">
        <v>733</v>
      </c>
      <c r="D2" s="162"/>
      <c r="E2" s="162"/>
      <c r="F2" s="162"/>
    </row>
    <row r="3" spans="1:12" ht="15.6" x14ac:dyDescent="0.25">
      <c r="B3" s="7"/>
      <c r="E3" s="163" t="s">
        <v>117</v>
      </c>
      <c r="F3" s="163"/>
    </row>
    <row r="4" spans="1:12" ht="15.6" x14ac:dyDescent="0.25">
      <c r="B4" s="7"/>
      <c r="E4" s="41"/>
      <c r="F4" s="41"/>
    </row>
    <row r="5" spans="1:12" ht="30" customHeight="1" x14ac:dyDescent="0.25">
      <c r="A5" s="164" t="s">
        <v>457</v>
      </c>
      <c r="B5" s="164"/>
      <c r="C5" s="164"/>
      <c r="D5" s="164"/>
      <c r="E5" s="164"/>
      <c r="F5" s="164"/>
    </row>
    <row r="6" spans="1:12" x14ac:dyDescent="0.25">
      <c r="A6" s="31"/>
      <c r="B6" s="31"/>
      <c r="C6" s="31"/>
      <c r="D6" s="31"/>
      <c r="E6" s="31"/>
      <c r="F6" s="31"/>
    </row>
    <row r="7" spans="1:12" x14ac:dyDescent="0.25">
      <c r="B7" s="7"/>
      <c r="E7" s="5"/>
      <c r="F7" s="5" t="s">
        <v>129</v>
      </c>
    </row>
    <row r="8" spans="1:12" ht="46.5" customHeight="1" x14ac:dyDescent="0.25">
      <c r="A8" s="8" t="s">
        <v>118</v>
      </c>
      <c r="B8" s="9" t="s">
        <v>459</v>
      </c>
      <c r="C8" s="8" t="s">
        <v>16</v>
      </c>
      <c r="D8" s="9" t="s">
        <v>53</v>
      </c>
      <c r="E8" s="8" t="s">
        <v>17</v>
      </c>
      <c r="F8" s="8" t="s">
        <v>29</v>
      </c>
    </row>
    <row r="9" spans="1:12" x14ac:dyDescent="0.25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</row>
    <row r="10" spans="1:12" ht="18" customHeight="1" x14ac:dyDescent="0.25">
      <c r="A10" s="12">
        <v>1</v>
      </c>
      <c r="B10" s="11" t="s">
        <v>54</v>
      </c>
      <c r="C10" s="13" t="s">
        <v>55</v>
      </c>
      <c r="D10" s="9"/>
      <c r="E10" s="59">
        <f>+E11</f>
        <v>33.4</v>
      </c>
      <c r="F10" s="59">
        <f>+F11</f>
        <v>0</v>
      </c>
      <c r="G10" s="4"/>
      <c r="H10" s="4"/>
      <c r="I10" s="4"/>
      <c r="J10" s="4"/>
      <c r="K10" s="4"/>
      <c r="L10" s="4"/>
    </row>
    <row r="11" spans="1:12" x14ac:dyDescent="0.25">
      <c r="A11" s="12">
        <v>2</v>
      </c>
      <c r="B11" s="1"/>
      <c r="C11" s="80" t="s">
        <v>202</v>
      </c>
      <c r="D11" s="1"/>
      <c r="E11" s="144">
        <f>+E12</f>
        <v>33.4</v>
      </c>
      <c r="F11" s="144">
        <f>+F12</f>
        <v>0</v>
      </c>
      <c r="G11" s="4"/>
      <c r="H11" s="4"/>
      <c r="I11" s="4"/>
      <c r="J11" s="4"/>
      <c r="K11" s="4"/>
      <c r="L11" s="27"/>
    </row>
    <row r="12" spans="1:12" ht="26.4" x14ac:dyDescent="0.25">
      <c r="A12" s="79" t="s">
        <v>325</v>
      </c>
      <c r="B12" s="1"/>
      <c r="C12" s="29" t="s">
        <v>156</v>
      </c>
      <c r="D12" s="1" t="s">
        <v>59</v>
      </c>
      <c r="E12" s="144">
        <v>33.4</v>
      </c>
      <c r="F12" s="144"/>
      <c r="G12" s="4"/>
      <c r="H12" s="4"/>
      <c r="I12" s="4"/>
      <c r="J12" s="4"/>
      <c r="K12" s="4"/>
      <c r="L12" s="27"/>
    </row>
    <row r="13" spans="1:12" ht="18" customHeight="1" x14ac:dyDescent="0.25">
      <c r="A13" s="79" t="s">
        <v>102</v>
      </c>
      <c r="B13" s="11" t="s">
        <v>63</v>
      </c>
      <c r="C13" s="17" t="s">
        <v>64</v>
      </c>
      <c r="D13" s="1"/>
      <c r="E13" s="81">
        <f>+E14</f>
        <v>22</v>
      </c>
      <c r="F13" s="81">
        <f>+F14</f>
        <v>0</v>
      </c>
      <c r="G13" s="4"/>
      <c r="H13" s="4"/>
      <c r="I13" s="4"/>
      <c r="J13" s="4"/>
      <c r="K13" s="4"/>
      <c r="L13" s="27"/>
    </row>
    <row r="14" spans="1:12" x14ac:dyDescent="0.25">
      <c r="A14" s="79" t="s">
        <v>30</v>
      </c>
      <c r="B14" s="11"/>
      <c r="C14" s="80" t="s">
        <v>202</v>
      </c>
      <c r="D14" s="1"/>
      <c r="E14" s="144">
        <f>+E15</f>
        <v>22</v>
      </c>
      <c r="F14" s="144">
        <f>+F15</f>
        <v>0</v>
      </c>
      <c r="G14" s="4"/>
      <c r="H14" s="4"/>
      <c r="I14" s="4"/>
      <c r="J14" s="4"/>
      <c r="K14" s="4"/>
      <c r="L14" s="27"/>
    </row>
    <row r="15" spans="1:12" ht="26.4" x14ac:dyDescent="0.25">
      <c r="A15" s="79" t="s">
        <v>196</v>
      </c>
      <c r="B15" s="11"/>
      <c r="C15" s="82" t="s">
        <v>223</v>
      </c>
      <c r="D15" s="14" t="s">
        <v>224</v>
      </c>
      <c r="E15" s="144">
        <v>22</v>
      </c>
      <c r="F15" s="144"/>
      <c r="G15" s="4"/>
      <c r="H15" s="4"/>
      <c r="I15" s="4"/>
      <c r="J15" s="4"/>
      <c r="K15" s="4"/>
      <c r="L15" s="27"/>
    </row>
    <row r="16" spans="1:12" ht="18" customHeight="1" x14ac:dyDescent="0.25">
      <c r="A16" s="12">
        <v>5</v>
      </c>
      <c r="B16" s="11" t="s">
        <v>21</v>
      </c>
      <c r="C16" s="17" t="s">
        <v>22</v>
      </c>
      <c r="D16" s="1"/>
      <c r="E16" s="81">
        <f>+E17</f>
        <v>137</v>
      </c>
      <c r="F16" s="81">
        <f>+F17</f>
        <v>0</v>
      </c>
      <c r="G16" s="4"/>
      <c r="H16" s="4"/>
      <c r="I16" s="4"/>
      <c r="J16" s="4"/>
      <c r="K16" s="4"/>
      <c r="L16" s="27"/>
    </row>
    <row r="17" spans="1:12" x14ac:dyDescent="0.25">
      <c r="A17" s="12">
        <v>6</v>
      </c>
      <c r="B17" s="11"/>
      <c r="C17" s="80" t="s">
        <v>202</v>
      </c>
      <c r="D17" s="1"/>
      <c r="E17" s="144">
        <f>+E18+E19+E20</f>
        <v>137</v>
      </c>
      <c r="F17" s="144">
        <f>+F18+F19+F20</f>
        <v>0</v>
      </c>
      <c r="H17" s="4"/>
      <c r="I17" s="4"/>
      <c r="J17" s="4"/>
      <c r="K17" s="4"/>
      <c r="L17" s="27"/>
    </row>
    <row r="18" spans="1:12" x14ac:dyDescent="0.25">
      <c r="A18" s="79" t="s">
        <v>572</v>
      </c>
      <c r="B18" s="1"/>
      <c r="C18" s="29" t="s">
        <v>178</v>
      </c>
      <c r="D18" s="1" t="s">
        <v>31</v>
      </c>
      <c r="E18" s="144">
        <v>90</v>
      </c>
      <c r="F18" s="144"/>
      <c r="G18" s="4"/>
      <c r="H18" s="4"/>
      <c r="I18" s="4"/>
      <c r="J18" s="4"/>
      <c r="K18" s="4"/>
      <c r="L18" s="4"/>
    </row>
    <row r="19" spans="1:12" x14ac:dyDescent="0.25">
      <c r="A19" s="79" t="s">
        <v>573</v>
      </c>
      <c r="B19" s="1"/>
      <c r="C19" s="62" t="s">
        <v>157</v>
      </c>
      <c r="D19" s="33" t="s">
        <v>87</v>
      </c>
      <c r="E19" s="144">
        <v>12.5</v>
      </c>
      <c r="F19" s="144"/>
      <c r="G19" s="4"/>
      <c r="H19" s="4"/>
      <c r="I19" s="4"/>
      <c r="J19" s="4"/>
      <c r="K19" s="4"/>
      <c r="L19" s="4"/>
    </row>
    <row r="20" spans="1:12" ht="26.4" x14ac:dyDescent="0.25">
      <c r="A20" s="79" t="s">
        <v>574</v>
      </c>
      <c r="B20" s="1"/>
      <c r="C20" s="29" t="s">
        <v>261</v>
      </c>
      <c r="D20" s="1" t="s">
        <v>23</v>
      </c>
      <c r="E20" s="144">
        <v>34.5</v>
      </c>
      <c r="F20" s="144"/>
      <c r="G20" s="4"/>
      <c r="H20" s="4"/>
      <c r="I20" s="4"/>
      <c r="J20" s="4"/>
      <c r="K20" s="4"/>
      <c r="L20" s="4"/>
    </row>
    <row r="21" spans="1:12" ht="18" customHeight="1" x14ac:dyDescent="0.25">
      <c r="A21" s="79" t="s">
        <v>575</v>
      </c>
      <c r="B21" s="11" t="s">
        <v>75</v>
      </c>
      <c r="C21" s="17" t="s">
        <v>222</v>
      </c>
      <c r="D21" s="1"/>
      <c r="E21" s="81">
        <f>+E22</f>
        <v>15</v>
      </c>
      <c r="F21" s="81">
        <f>+F22</f>
        <v>0</v>
      </c>
      <c r="G21" s="4"/>
      <c r="H21" s="4"/>
      <c r="I21" s="4"/>
      <c r="J21" s="4"/>
      <c r="K21" s="4"/>
      <c r="L21" s="27"/>
    </row>
    <row r="22" spans="1:12" x14ac:dyDescent="0.25">
      <c r="A22" s="79" t="s">
        <v>225</v>
      </c>
      <c r="B22" s="1"/>
      <c r="C22" s="80" t="s">
        <v>202</v>
      </c>
      <c r="D22" s="1"/>
      <c r="E22" s="144">
        <f>+E23</f>
        <v>15</v>
      </c>
      <c r="F22" s="144">
        <f>+F23</f>
        <v>0</v>
      </c>
      <c r="G22" s="4"/>
      <c r="H22" s="4"/>
      <c r="I22" s="4"/>
      <c r="J22" s="4"/>
      <c r="K22" s="4"/>
      <c r="L22" s="27"/>
    </row>
    <row r="23" spans="1:12" ht="26.4" x14ac:dyDescent="0.25">
      <c r="A23" s="79" t="s">
        <v>576</v>
      </c>
      <c r="B23" s="1"/>
      <c r="C23" s="29" t="s">
        <v>179</v>
      </c>
      <c r="D23" s="1" t="s">
        <v>60</v>
      </c>
      <c r="E23" s="144">
        <v>15</v>
      </c>
      <c r="F23" s="144"/>
      <c r="G23" s="4"/>
      <c r="H23" s="4"/>
      <c r="I23" s="4"/>
      <c r="J23" s="4"/>
      <c r="K23" s="4"/>
      <c r="L23" s="27"/>
    </row>
    <row r="24" spans="1:12" ht="18" customHeight="1" x14ac:dyDescent="0.25">
      <c r="A24" s="12">
        <v>9</v>
      </c>
      <c r="B24" s="11" t="s">
        <v>77</v>
      </c>
      <c r="C24" s="17" t="s">
        <v>78</v>
      </c>
      <c r="D24" s="8"/>
      <c r="E24" s="81">
        <f>+E25</f>
        <v>281</v>
      </c>
      <c r="F24" s="81">
        <f>+F25</f>
        <v>0</v>
      </c>
      <c r="G24" s="4"/>
      <c r="H24" s="4"/>
      <c r="I24" s="4"/>
      <c r="J24" s="4"/>
      <c r="K24" s="4"/>
      <c r="L24" s="27"/>
    </row>
    <row r="25" spans="1:12" ht="12.6" customHeight="1" x14ac:dyDescent="0.25">
      <c r="A25" s="12">
        <v>10</v>
      </c>
      <c r="B25" s="11"/>
      <c r="C25" s="80" t="s">
        <v>202</v>
      </c>
      <c r="D25" s="1"/>
      <c r="E25" s="144">
        <f>+E26+E27</f>
        <v>281</v>
      </c>
      <c r="F25" s="144">
        <f>+F26+F27</f>
        <v>0</v>
      </c>
      <c r="G25" s="4"/>
      <c r="H25" s="4"/>
      <c r="I25" s="4"/>
      <c r="J25" s="4"/>
      <c r="K25" s="4"/>
      <c r="L25" s="27"/>
    </row>
    <row r="26" spans="1:12" ht="39.6" x14ac:dyDescent="0.25">
      <c r="A26" s="79" t="s">
        <v>185</v>
      </c>
      <c r="B26" s="1"/>
      <c r="C26" s="16" t="s">
        <v>191</v>
      </c>
      <c r="D26" s="14" t="s">
        <v>81</v>
      </c>
      <c r="E26" s="144">
        <v>250</v>
      </c>
      <c r="F26" s="144"/>
      <c r="G26" s="4"/>
      <c r="H26" s="4"/>
      <c r="I26" s="4"/>
      <c r="J26" s="4"/>
      <c r="K26" s="4"/>
      <c r="L26" s="27"/>
    </row>
    <row r="27" spans="1:12" ht="26.4" x14ac:dyDescent="0.25">
      <c r="A27" s="79" t="s">
        <v>577</v>
      </c>
      <c r="B27" s="1"/>
      <c r="C27" s="16" t="s">
        <v>216</v>
      </c>
      <c r="D27" s="14" t="s">
        <v>79</v>
      </c>
      <c r="E27" s="144">
        <v>31</v>
      </c>
      <c r="F27" s="144"/>
      <c r="G27" s="4"/>
      <c r="H27" s="4"/>
      <c r="I27" s="4"/>
      <c r="J27" s="4"/>
      <c r="K27" s="4"/>
      <c r="L27" s="27"/>
    </row>
    <row r="28" spans="1:12" ht="28.5" customHeight="1" x14ac:dyDescent="0.25">
      <c r="A28" s="12">
        <v>11</v>
      </c>
      <c r="B28" s="11" t="s">
        <v>104</v>
      </c>
      <c r="C28" s="66" t="s">
        <v>105</v>
      </c>
      <c r="D28" s="1"/>
      <c r="E28" s="81">
        <f>+E29</f>
        <v>58.5</v>
      </c>
      <c r="F28" s="81">
        <f>+F29</f>
        <v>0</v>
      </c>
      <c r="G28" s="4"/>
      <c r="H28" s="4"/>
      <c r="I28" s="4"/>
      <c r="J28" s="4"/>
      <c r="K28" s="4"/>
      <c r="L28" s="27"/>
    </row>
    <row r="29" spans="1:12" ht="12.6" customHeight="1" x14ac:dyDescent="0.25">
      <c r="A29" s="12">
        <v>12</v>
      </c>
      <c r="B29" s="11"/>
      <c r="C29" s="16" t="s">
        <v>202</v>
      </c>
      <c r="D29" s="1"/>
      <c r="E29" s="144">
        <f>+E30+E31</f>
        <v>58.5</v>
      </c>
      <c r="F29" s="144">
        <f>+F30+F31</f>
        <v>0</v>
      </c>
      <c r="G29" s="4"/>
      <c r="H29" s="4"/>
      <c r="I29" s="4"/>
      <c r="J29" s="4"/>
      <c r="K29" s="4"/>
      <c r="L29" s="27"/>
    </row>
    <row r="30" spans="1:12" ht="42.75" customHeight="1" x14ac:dyDescent="0.25">
      <c r="A30" s="79" t="s">
        <v>578</v>
      </c>
      <c r="B30" s="1"/>
      <c r="C30" s="29" t="s">
        <v>177</v>
      </c>
      <c r="D30" s="1" t="s">
        <v>147</v>
      </c>
      <c r="E30" s="144">
        <v>33</v>
      </c>
      <c r="F30" s="144"/>
      <c r="G30" s="4"/>
      <c r="H30" s="4"/>
      <c r="I30" s="4"/>
      <c r="J30" s="4"/>
      <c r="K30" s="4"/>
      <c r="L30" s="27"/>
    </row>
    <row r="31" spans="1:12" ht="26.4" x14ac:dyDescent="0.25">
      <c r="A31" s="79" t="s">
        <v>579</v>
      </c>
      <c r="B31" s="1"/>
      <c r="C31" s="127" t="s">
        <v>205</v>
      </c>
      <c r="D31" s="1" t="s">
        <v>126</v>
      </c>
      <c r="E31" s="144">
        <v>25.5</v>
      </c>
      <c r="F31" s="144"/>
      <c r="G31" s="4"/>
      <c r="H31" s="4"/>
      <c r="I31" s="4"/>
      <c r="J31" s="4"/>
      <c r="K31" s="4"/>
      <c r="L31" s="27"/>
    </row>
    <row r="32" spans="1:12" ht="18" customHeight="1" x14ac:dyDescent="0.25">
      <c r="A32" s="12">
        <v>13</v>
      </c>
      <c r="B32" s="11" t="s">
        <v>83</v>
      </c>
      <c r="C32" s="68" t="s">
        <v>84</v>
      </c>
      <c r="D32" s="1"/>
      <c r="E32" s="81">
        <f>+E33</f>
        <v>438.2</v>
      </c>
      <c r="F32" s="81">
        <f>+F33</f>
        <v>0</v>
      </c>
      <c r="G32" s="4"/>
      <c r="H32" s="4"/>
      <c r="I32" s="4"/>
      <c r="J32" s="4"/>
      <c r="K32" s="4"/>
      <c r="L32" s="27"/>
    </row>
    <row r="33" spans="1:13" ht="12.6" customHeight="1" x14ac:dyDescent="0.25">
      <c r="A33" s="12">
        <v>14</v>
      </c>
      <c r="B33" s="1"/>
      <c r="C33" s="80" t="s">
        <v>202</v>
      </c>
      <c r="D33" s="14"/>
      <c r="E33" s="144">
        <f>+E34+E35+E36+E37</f>
        <v>438.2</v>
      </c>
      <c r="F33" s="144">
        <f>+F34+F35+F36+F37</f>
        <v>0</v>
      </c>
      <c r="G33" s="4"/>
      <c r="H33" s="4"/>
      <c r="I33" s="4"/>
      <c r="J33" s="4"/>
      <c r="K33" s="4"/>
      <c r="L33" s="27"/>
    </row>
    <row r="34" spans="1:13" ht="12.6" customHeight="1" x14ac:dyDescent="0.25">
      <c r="A34" s="79" t="s">
        <v>419</v>
      </c>
      <c r="B34" s="1"/>
      <c r="C34" s="22" t="s">
        <v>158</v>
      </c>
      <c r="D34" s="14" t="s">
        <v>629</v>
      </c>
      <c r="E34" s="144">
        <v>36</v>
      </c>
      <c r="F34" s="144"/>
      <c r="G34" s="4"/>
      <c r="H34" s="4"/>
      <c r="I34" s="4"/>
      <c r="J34" s="4"/>
      <c r="K34" s="4"/>
      <c r="L34" s="27"/>
    </row>
    <row r="35" spans="1:13" ht="26.4" x14ac:dyDescent="0.25">
      <c r="A35" s="79" t="s">
        <v>452</v>
      </c>
      <c r="B35" s="1"/>
      <c r="C35" s="80" t="s">
        <v>277</v>
      </c>
      <c r="D35" s="14" t="s">
        <v>364</v>
      </c>
      <c r="E35" s="144">
        <v>100</v>
      </c>
      <c r="F35" s="144"/>
      <c r="G35" s="4"/>
      <c r="H35" s="4"/>
      <c r="I35" s="4"/>
      <c r="J35" s="4"/>
      <c r="K35" s="4"/>
      <c r="L35" s="27"/>
    </row>
    <row r="36" spans="1:13" ht="12.6" customHeight="1" x14ac:dyDescent="0.25">
      <c r="A36" s="79" t="s">
        <v>453</v>
      </c>
      <c r="B36" s="1"/>
      <c r="C36" s="15" t="s">
        <v>159</v>
      </c>
      <c r="D36" s="14" t="s">
        <v>163</v>
      </c>
      <c r="E36" s="144">
        <f>270+12</f>
        <v>282</v>
      </c>
      <c r="F36" s="144"/>
      <c r="G36" s="4"/>
      <c r="H36" s="4"/>
      <c r="I36" s="4"/>
      <c r="J36" s="4"/>
      <c r="K36" s="4"/>
      <c r="L36" s="27"/>
    </row>
    <row r="37" spans="1:13" ht="26.4" x14ac:dyDescent="0.25">
      <c r="A37" s="79" t="s">
        <v>696</v>
      </c>
      <c r="B37" s="1"/>
      <c r="C37" s="15" t="s">
        <v>278</v>
      </c>
      <c r="D37" s="14" t="s">
        <v>86</v>
      </c>
      <c r="E37" s="144">
        <v>20.2</v>
      </c>
      <c r="F37" s="144"/>
      <c r="G37" s="4"/>
      <c r="H37" s="4"/>
      <c r="I37" s="4"/>
      <c r="J37" s="4"/>
      <c r="K37" s="4"/>
      <c r="L37" s="27"/>
    </row>
    <row r="38" spans="1:13" ht="18" customHeight="1" x14ac:dyDescent="0.25">
      <c r="A38" s="12">
        <v>15</v>
      </c>
      <c r="B38" s="11" t="s">
        <v>88</v>
      </c>
      <c r="C38" s="17" t="s">
        <v>89</v>
      </c>
      <c r="D38" s="1"/>
      <c r="E38" s="81">
        <f>+E39</f>
        <v>555</v>
      </c>
      <c r="F38" s="81">
        <f>+F39</f>
        <v>0</v>
      </c>
      <c r="G38" s="4"/>
      <c r="H38" s="4"/>
      <c r="I38" s="4"/>
      <c r="J38" s="4"/>
      <c r="K38" s="4"/>
      <c r="L38" s="27"/>
    </row>
    <row r="39" spans="1:13" x14ac:dyDescent="0.25">
      <c r="A39" s="12">
        <v>16</v>
      </c>
      <c r="B39" s="1"/>
      <c r="C39" s="80" t="s">
        <v>202</v>
      </c>
      <c r="D39" s="1"/>
      <c r="E39" s="144">
        <f>+E40+E41</f>
        <v>555</v>
      </c>
      <c r="F39" s="144">
        <f>+F40+F41</f>
        <v>0</v>
      </c>
      <c r="G39" s="4"/>
      <c r="H39" s="4"/>
      <c r="I39" s="4"/>
      <c r="J39" s="4"/>
      <c r="K39" s="4"/>
      <c r="L39" s="27"/>
    </row>
    <row r="40" spans="1:13" ht="29.25" customHeight="1" x14ac:dyDescent="0.25">
      <c r="A40" s="79" t="s">
        <v>454</v>
      </c>
      <c r="B40" s="1"/>
      <c r="C40" s="128" t="s">
        <v>160</v>
      </c>
      <c r="D40" s="1" t="s">
        <v>91</v>
      </c>
      <c r="E40" s="144">
        <v>439</v>
      </c>
      <c r="F40" s="144"/>
      <c r="G40" s="4"/>
      <c r="H40" s="4"/>
      <c r="I40" s="4"/>
      <c r="J40" s="4"/>
      <c r="K40" s="4"/>
      <c r="L40" s="27"/>
      <c r="M40" s="2" t="s">
        <v>490</v>
      </c>
    </row>
    <row r="41" spans="1:13" ht="39.6" x14ac:dyDescent="0.25">
      <c r="A41" s="79" t="s">
        <v>550</v>
      </c>
      <c r="B41" s="1"/>
      <c r="C41" s="128" t="s">
        <v>218</v>
      </c>
      <c r="D41" s="1" t="s">
        <v>148</v>
      </c>
      <c r="E41" s="144">
        <v>116</v>
      </c>
      <c r="F41" s="144"/>
      <c r="G41" s="4"/>
      <c r="H41" s="4"/>
      <c r="I41" s="4"/>
      <c r="J41" s="4"/>
      <c r="K41" s="4"/>
      <c r="L41" s="27"/>
    </row>
    <row r="42" spans="1:13" ht="15.75" customHeight="1" x14ac:dyDescent="0.25">
      <c r="A42" s="12">
        <v>17</v>
      </c>
      <c r="B42" s="1"/>
      <c r="C42" s="77" t="s">
        <v>20</v>
      </c>
      <c r="D42" s="1"/>
      <c r="E42" s="57">
        <f>+E10+E13+E16+E21+E24+E28+E32+E38</f>
        <v>1540.1</v>
      </c>
      <c r="F42" s="57">
        <f>+F10+F13+F16+F21+F24+F28+F32+F38</f>
        <v>0</v>
      </c>
      <c r="G42" s="4"/>
      <c r="H42" s="4"/>
      <c r="I42" s="4"/>
      <c r="J42" s="4"/>
      <c r="K42" s="4"/>
      <c r="L42" s="4"/>
    </row>
    <row r="43" spans="1:13" x14ac:dyDescent="0.25">
      <c r="C43" s="3" t="s">
        <v>108</v>
      </c>
      <c r="E43" s="72"/>
      <c r="F43" s="72"/>
    </row>
    <row r="44" spans="1:13" x14ac:dyDescent="0.25">
      <c r="D44" s="6"/>
      <c r="E44" s="72"/>
      <c r="F44" s="72"/>
    </row>
    <row r="45" spans="1:13" x14ac:dyDescent="0.25">
      <c r="C45" s="73"/>
      <c r="E45" s="83"/>
      <c r="F45" s="83"/>
    </row>
    <row r="46" spans="1:13" x14ac:dyDescent="0.25">
      <c r="C46" s="5"/>
      <c r="D46" s="6"/>
      <c r="E46" s="72"/>
      <c r="F46" s="72"/>
    </row>
    <row r="47" spans="1:13" x14ac:dyDescent="0.25">
      <c r="C47" s="25"/>
      <c r="E47" s="72"/>
      <c r="F47" s="72"/>
    </row>
    <row r="48" spans="1:13" x14ac:dyDescent="0.25">
      <c r="C48" s="25"/>
      <c r="E48" s="72"/>
      <c r="F48" s="72"/>
    </row>
    <row r="49" spans="3:6" x14ac:dyDescent="0.25">
      <c r="F49" s="72"/>
    </row>
    <row r="50" spans="3:6" x14ac:dyDescent="0.25">
      <c r="C50" s="5"/>
      <c r="E50" s="72"/>
      <c r="F50" s="72"/>
    </row>
    <row r="51" spans="3:6" x14ac:dyDescent="0.25">
      <c r="C51" s="5"/>
    </row>
    <row r="52" spans="3:6" x14ac:dyDescent="0.25">
      <c r="C52" s="5"/>
    </row>
    <row r="53" spans="3:6" x14ac:dyDescent="0.25">
      <c r="C53" s="5"/>
    </row>
    <row r="54" spans="3:6" x14ac:dyDescent="0.25">
      <c r="C54" s="5"/>
      <c r="E54" s="72"/>
      <c r="F54" s="72"/>
    </row>
    <row r="55" spans="3:6" x14ac:dyDescent="0.25">
      <c r="C55" s="84"/>
      <c r="D55" s="3"/>
      <c r="E55" s="72"/>
      <c r="F55" s="72"/>
    </row>
    <row r="56" spans="3:6" x14ac:dyDescent="0.25">
      <c r="C56" s="85"/>
      <c r="D56" s="72"/>
    </row>
    <row r="57" spans="3:6" x14ac:dyDescent="0.25">
      <c r="C57" s="5"/>
      <c r="D57" s="72"/>
    </row>
    <row r="58" spans="3:6" x14ac:dyDescent="0.25">
      <c r="C58" s="5"/>
      <c r="D58" s="86"/>
    </row>
    <row r="59" spans="3:6" x14ac:dyDescent="0.25">
      <c r="C59" s="5"/>
    </row>
    <row r="60" spans="3:6" x14ac:dyDescent="0.25">
      <c r="C60" s="5"/>
    </row>
    <row r="61" spans="3:6" x14ac:dyDescent="0.25">
      <c r="D61" s="3"/>
    </row>
    <row r="63" spans="3:6" x14ac:dyDescent="0.25">
      <c r="C63" s="5"/>
    </row>
  </sheetData>
  <mergeCells count="4">
    <mergeCell ref="C1:F1"/>
    <mergeCell ref="C2:F2"/>
    <mergeCell ref="E3:F3"/>
    <mergeCell ref="A5:F5"/>
  </mergeCells>
  <phoneticPr fontId="5" type="noConversion"/>
  <pageMargins left="0.59055118110236227" right="0" top="0.39370078740157483" bottom="0" header="0" footer="0"/>
  <pageSetup paperSize="9" scale="94" orientation="portrait" blackAndWhite="1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169"/>
  <sheetViews>
    <sheetView tabSelected="1" workbookViewId="0">
      <selection activeCell="I6" sqref="I6"/>
    </sheetView>
  </sheetViews>
  <sheetFormatPr defaultColWidth="9.109375" defaultRowHeight="13.2" x14ac:dyDescent="0.25"/>
  <cols>
    <col min="1" max="1" width="4.6640625" style="3" customWidth="1"/>
    <col min="2" max="2" width="7" style="7" customWidth="1"/>
    <col min="3" max="3" width="48.109375" style="89" customWidth="1"/>
    <col min="4" max="4" width="10.5546875" style="6" customWidth="1"/>
    <col min="5" max="5" width="10.44140625" style="5" customWidth="1"/>
    <col min="6" max="6" width="11.33203125" style="5" customWidth="1"/>
    <col min="7" max="8" width="9.109375" style="4"/>
    <col min="9" max="16384" width="9.109375" style="2"/>
  </cols>
  <sheetData>
    <row r="1" spans="1:8" ht="15.6" x14ac:dyDescent="0.3">
      <c r="C1" s="162" t="s">
        <v>461</v>
      </c>
      <c r="D1" s="162"/>
      <c r="E1" s="162"/>
      <c r="F1" s="162"/>
    </row>
    <row r="2" spans="1:8" ht="15" customHeight="1" x14ac:dyDescent="0.3">
      <c r="C2" s="162" t="s">
        <v>731</v>
      </c>
      <c r="D2" s="162"/>
      <c r="E2" s="162"/>
      <c r="F2" s="162"/>
    </row>
    <row r="3" spans="1:8" ht="15.6" x14ac:dyDescent="0.3">
      <c r="C3" s="26"/>
      <c r="D3" s="26"/>
      <c r="E3" s="163" t="s">
        <v>460</v>
      </c>
      <c r="F3" s="163"/>
    </row>
    <row r="4" spans="1:8" ht="15.6" x14ac:dyDescent="0.25">
      <c r="E4" s="41"/>
      <c r="F4" s="41"/>
    </row>
    <row r="5" spans="1:8" ht="35.25" customHeight="1" x14ac:dyDescent="0.25">
      <c r="A5" s="179" t="s">
        <v>458</v>
      </c>
      <c r="B5" s="179"/>
      <c r="C5" s="179"/>
      <c r="D5" s="179"/>
      <c r="E5" s="179"/>
      <c r="F5" s="179"/>
    </row>
    <row r="6" spans="1:8" x14ac:dyDescent="0.25">
      <c r="A6" s="30"/>
      <c r="B6" s="30"/>
      <c r="C6" s="30"/>
      <c r="D6" s="30"/>
      <c r="E6" s="30"/>
      <c r="F6" s="30"/>
    </row>
    <row r="7" spans="1:8" x14ac:dyDescent="0.25">
      <c r="A7" s="90"/>
      <c r="B7" s="91"/>
      <c r="C7" s="92"/>
      <c r="D7" s="93"/>
      <c r="E7" s="94"/>
      <c r="F7" s="94"/>
    </row>
    <row r="8" spans="1:8" ht="39.6" x14ac:dyDescent="0.25">
      <c r="A8" s="8" t="s">
        <v>118</v>
      </c>
      <c r="B8" s="9" t="s">
        <v>459</v>
      </c>
      <c r="C8" s="8" t="s">
        <v>16</v>
      </c>
      <c r="D8" s="9" t="s">
        <v>53</v>
      </c>
      <c r="E8" s="8" t="s">
        <v>17</v>
      </c>
      <c r="F8" s="8" t="s">
        <v>29</v>
      </c>
    </row>
    <row r="9" spans="1:8" s="58" customFormat="1" ht="12.75" customHeight="1" x14ac:dyDescent="0.25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  <c r="G9" s="87"/>
      <c r="H9" s="87"/>
    </row>
    <row r="10" spans="1:8" s="58" customFormat="1" ht="18" customHeight="1" x14ac:dyDescent="0.25">
      <c r="A10" s="12">
        <v>1</v>
      </c>
      <c r="B10" s="11" t="s">
        <v>54</v>
      </c>
      <c r="C10" s="13" t="s">
        <v>55</v>
      </c>
      <c r="D10" s="8"/>
      <c r="E10" s="59">
        <f>+E11+E14+E29+E83+E52+E54+E76+E78+E81</f>
        <v>1105.3</v>
      </c>
      <c r="F10" s="59">
        <f>+F11+F14+F29+F83+F52+F54+F76+F78+F81</f>
        <v>323.2999999999999</v>
      </c>
      <c r="G10" s="87"/>
      <c r="H10" s="87"/>
    </row>
    <row r="11" spans="1:8" ht="14.4" customHeight="1" x14ac:dyDescent="0.25">
      <c r="A11" s="12">
        <v>2</v>
      </c>
      <c r="B11" s="14" t="s">
        <v>371</v>
      </c>
      <c r="C11" s="95" t="s">
        <v>381</v>
      </c>
      <c r="D11" s="18"/>
      <c r="E11" s="38">
        <f>+E12+E13</f>
        <v>270.90000000000003</v>
      </c>
      <c r="F11" s="38">
        <f>+F12+F13</f>
        <v>8</v>
      </c>
    </row>
    <row r="12" spans="1:8" ht="12.6" customHeight="1" x14ac:dyDescent="0.25">
      <c r="A12" s="12">
        <v>3</v>
      </c>
      <c r="B12" s="1"/>
      <c r="C12" s="82" t="s">
        <v>232</v>
      </c>
      <c r="D12" s="14" t="s">
        <v>248</v>
      </c>
      <c r="E12" s="19">
        <v>262.8</v>
      </c>
      <c r="F12" s="19"/>
    </row>
    <row r="13" spans="1:8" ht="12.6" customHeight="1" x14ac:dyDescent="0.25">
      <c r="A13" s="12">
        <v>4</v>
      </c>
      <c r="B13" s="1"/>
      <c r="C13" s="16" t="s">
        <v>367</v>
      </c>
      <c r="D13" s="14" t="s">
        <v>368</v>
      </c>
      <c r="E13" s="19">
        <v>8.1</v>
      </c>
      <c r="F13" s="19">
        <v>8</v>
      </c>
    </row>
    <row r="14" spans="1:8" ht="52.8" x14ac:dyDescent="0.25">
      <c r="A14" s="12">
        <v>5</v>
      </c>
      <c r="B14" s="14" t="s">
        <v>372</v>
      </c>
      <c r="C14" s="95" t="s">
        <v>489</v>
      </c>
      <c r="D14" s="18"/>
      <c r="E14" s="38">
        <f>SUM(E15:E28)</f>
        <v>31.199999999999996</v>
      </c>
      <c r="F14" s="38">
        <f>SUM(F15:F28)</f>
        <v>31.199999999999996</v>
      </c>
    </row>
    <row r="15" spans="1:8" ht="12.6" customHeight="1" x14ac:dyDescent="0.25">
      <c r="A15" s="12">
        <v>6</v>
      </c>
      <c r="B15" s="1"/>
      <c r="C15" s="24" t="s">
        <v>44</v>
      </c>
      <c r="D15" s="1" t="s">
        <v>58</v>
      </c>
      <c r="E15" s="19">
        <v>2.4</v>
      </c>
      <c r="F15" s="19">
        <v>2.4</v>
      </c>
    </row>
    <row r="16" spans="1:8" ht="12.6" customHeight="1" x14ac:dyDescent="0.25">
      <c r="A16" s="12">
        <v>7</v>
      </c>
      <c r="B16" s="1"/>
      <c r="C16" s="15" t="s">
        <v>134</v>
      </c>
      <c r="D16" s="1" t="s">
        <v>58</v>
      </c>
      <c r="E16" s="19">
        <v>2.4</v>
      </c>
      <c r="F16" s="19">
        <v>2.4</v>
      </c>
    </row>
    <row r="17" spans="1:6" ht="12.6" customHeight="1" x14ac:dyDescent="0.25">
      <c r="A17" s="12">
        <v>8</v>
      </c>
      <c r="B17" s="1"/>
      <c r="C17" s="15" t="s">
        <v>135</v>
      </c>
      <c r="D17" s="1" t="s">
        <v>58</v>
      </c>
      <c r="E17" s="19">
        <v>2.4</v>
      </c>
      <c r="F17" s="19">
        <v>2.4</v>
      </c>
    </row>
    <row r="18" spans="1:6" ht="12.6" customHeight="1" x14ac:dyDescent="0.25">
      <c r="A18" s="12">
        <v>9</v>
      </c>
      <c r="B18" s="1"/>
      <c r="C18" s="15" t="s">
        <v>38</v>
      </c>
      <c r="D18" s="1" t="s">
        <v>58</v>
      </c>
      <c r="E18" s="19">
        <v>2.4</v>
      </c>
      <c r="F18" s="19">
        <v>2.4</v>
      </c>
    </row>
    <row r="19" spans="1:6" ht="12.6" customHeight="1" x14ac:dyDescent="0.25">
      <c r="A19" s="12">
        <v>10</v>
      </c>
      <c r="B19" s="1"/>
      <c r="C19" s="24" t="s">
        <v>138</v>
      </c>
      <c r="D19" s="1" t="s">
        <v>58</v>
      </c>
      <c r="E19" s="19">
        <v>2.4</v>
      </c>
      <c r="F19" s="19">
        <v>2.4</v>
      </c>
    </row>
    <row r="20" spans="1:6" ht="12.6" customHeight="1" x14ac:dyDescent="0.25">
      <c r="A20" s="12">
        <v>11</v>
      </c>
      <c r="B20" s="1"/>
      <c r="C20" s="15" t="s">
        <v>173</v>
      </c>
      <c r="D20" s="1" t="s">
        <v>59</v>
      </c>
      <c r="E20" s="19">
        <v>2.4</v>
      </c>
      <c r="F20" s="19">
        <v>2.4</v>
      </c>
    </row>
    <row r="21" spans="1:6" ht="12.6" customHeight="1" x14ac:dyDescent="0.25">
      <c r="A21" s="12">
        <v>12</v>
      </c>
      <c r="B21" s="1"/>
      <c r="C21" s="24" t="s">
        <v>174</v>
      </c>
      <c r="D21" s="14" t="s">
        <v>235</v>
      </c>
      <c r="E21" s="19">
        <v>2.4</v>
      </c>
      <c r="F21" s="19">
        <v>2.4</v>
      </c>
    </row>
    <row r="22" spans="1:6" ht="12.6" customHeight="1" x14ac:dyDescent="0.25">
      <c r="A22" s="12">
        <v>13</v>
      </c>
      <c r="B22" s="1"/>
      <c r="C22" s="15" t="s">
        <v>120</v>
      </c>
      <c r="D22" s="14" t="s">
        <v>235</v>
      </c>
      <c r="E22" s="19">
        <v>2.4</v>
      </c>
      <c r="F22" s="19">
        <v>2.4</v>
      </c>
    </row>
    <row r="23" spans="1:6" ht="12.6" customHeight="1" x14ac:dyDescent="0.25">
      <c r="A23" s="12">
        <v>14</v>
      </c>
      <c r="B23" s="1"/>
      <c r="C23" s="15" t="s">
        <v>136</v>
      </c>
      <c r="D23" s="1" t="s">
        <v>59</v>
      </c>
      <c r="E23" s="19">
        <v>1.8</v>
      </c>
      <c r="F23" s="19">
        <v>1.8</v>
      </c>
    </row>
    <row r="24" spans="1:6" ht="12.6" customHeight="1" x14ac:dyDescent="0.25">
      <c r="A24" s="12">
        <v>15</v>
      </c>
      <c r="B24" s="1"/>
      <c r="C24" s="15" t="s">
        <v>40</v>
      </c>
      <c r="D24" s="1" t="s">
        <v>59</v>
      </c>
      <c r="E24" s="19">
        <v>1.8</v>
      </c>
      <c r="F24" s="19">
        <v>1.8</v>
      </c>
    </row>
    <row r="25" spans="1:6" ht="26.4" x14ac:dyDescent="0.25">
      <c r="A25" s="12">
        <v>16</v>
      </c>
      <c r="B25" s="1"/>
      <c r="C25" s="15" t="s">
        <v>111</v>
      </c>
      <c r="D25" s="14" t="s">
        <v>247</v>
      </c>
      <c r="E25" s="19">
        <v>2.4</v>
      </c>
      <c r="F25" s="19">
        <v>2.4</v>
      </c>
    </row>
    <row r="26" spans="1:6" x14ac:dyDescent="0.25">
      <c r="A26" s="12">
        <v>17</v>
      </c>
      <c r="B26" s="1"/>
      <c r="C26" s="24" t="s">
        <v>52</v>
      </c>
      <c r="D26" s="1" t="s">
        <v>60</v>
      </c>
      <c r="E26" s="19">
        <v>1.2</v>
      </c>
      <c r="F26" s="19">
        <v>1.2</v>
      </c>
    </row>
    <row r="27" spans="1:6" x14ac:dyDescent="0.25">
      <c r="A27" s="12">
        <v>18</v>
      </c>
      <c r="B27" s="1"/>
      <c r="C27" s="24" t="s">
        <v>45</v>
      </c>
      <c r="D27" s="1" t="s">
        <v>60</v>
      </c>
      <c r="E27" s="19">
        <v>2.4</v>
      </c>
      <c r="F27" s="19">
        <v>2.4</v>
      </c>
    </row>
    <row r="28" spans="1:6" x14ac:dyDescent="0.25">
      <c r="A28" s="12">
        <v>19</v>
      </c>
      <c r="B28" s="1"/>
      <c r="C28" s="24" t="s">
        <v>46</v>
      </c>
      <c r="D28" s="1" t="s">
        <v>60</v>
      </c>
      <c r="E28" s="19">
        <v>2.4</v>
      </c>
      <c r="F28" s="19">
        <v>2.4</v>
      </c>
    </row>
    <row r="29" spans="1:6" ht="39.6" x14ac:dyDescent="0.25">
      <c r="A29" s="12">
        <v>20</v>
      </c>
      <c r="B29" s="1" t="s">
        <v>373</v>
      </c>
      <c r="C29" s="129" t="s">
        <v>636</v>
      </c>
      <c r="D29" s="14"/>
      <c r="E29" s="38">
        <f>SUM(E30:E51)</f>
        <v>208.99999999999997</v>
      </c>
      <c r="F29" s="38">
        <f>SUM(F30:F51)</f>
        <v>205.99999999999997</v>
      </c>
    </row>
    <row r="30" spans="1:6" x14ac:dyDescent="0.25">
      <c r="A30" s="12">
        <v>21</v>
      </c>
      <c r="B30" s="1"/>
      <c r="C30" s="24" t="s">
        <v>176</v>
      </c>
      <c r="D30" s="1" t="s">
        <v>56</v>
      </c>
      <c r="E30" s="19">
        <v>20.100000000000001</v>
      </c>
      <c r="F30" s="19">
        <v>19.8</v>
      </c>
    </row>
    <row r="31" spans="1:6" x14ac:dyDescent="0.25">
      <c r="A31" s="12">
        <v>22</v>
      </c>
      <c r="B31" s="1"/>
      <c r="C31" s="24" t="s">
        <v>167</v>
      </c>
      <c r="D31" s="1" t="s">
        <v>56</v>
      </c>
      <c r="E31" s="19">
        <v>17.899999999999999</v>
      </c>
      <c r="F31" s="19">
        <v>17.600000000000001</v>
      </c>
    </row>
    <row r="32" spans="1:6" x14ac:dyDescent="0.25">
      <c r="A32" s="12">
        <v>23</v>
      </c>
      <c r="B32" s="1"/>
      <c r="C32" s="24" t="s">
        <v>168</v>
      </c>
      <c r="D32" s="1" t="s">
        <v>56</v>
      </c>
      <c r="E32" s="19">
        <v>13.4</v>
      </c>
      <c r="F32" s="19">
        <v>13.2</v>
      </c>
    </row>
    <row r="33" spans="1:6" x14ac:dyDescent="0.25">
      <c r="A33" s="12">
        <v>24</v>
      </c>
      <c r="B33" s="1"/>
      <c r="C33" s="24" t="s">
        <v>172</v>
      </c>
      <c r="D33" s="1" t="s">
        <v>56</v>
      </c>
      <c r="E33" s="19">
        <v>9.1999999999999993</v>
      </c>
      <c r="F33" s="19">
        <v>9.1</v>
      </c>
    </row>
    <row r="34" spans="1:6" x14ac:dyDescent="0.25">
      <c r="A34" s="12">
        <v>25</v>
      </c>
      <c r="B34" s="1"/>
      <c r="C34" s="24" t="s">
        <v>169</v>
      </c>
      <c r="D34" s="1" t="s">
        <v>56</v>
      </c>
      <c r="E34" s="19">
        <v>14.5</v>
      </c>
      <c r="F34" s="19">
        <v>14.3</v>
      </c>
    </row>
    <row r="35" spans="1:6" x14ac:dyDescent="0.25">
      <c r="A35" s="12">
        <v>26</v>
      </c>
      <c r="B35" s="1"/>
      <c r="C35" s="24" t="s">
        <v>170</v>
      </c>
      <c r="D35" s="1" t="s">
        <v>56</v>
      </c>
      <c r="E35" s="19">
        <v>24.8</v>
      </c>
      <c r="F35" s="19">
        <v>24.5</v>
      </c>
    </row>
    <row r="36" spans="1:6" x14ac:dyDescent="0.25">
      <c r="A36" s="12">
        <v>27</v>
      </c>
      <c r="B36" s="1"/>
      <c r="C36" s="24" t="s">
        <v>171</v>
      </c>
      <c r="D36" s="1" t="s">
        <v>56</v>
      </c>
      <c r="E36" s="19">
        <v>17.7</v>
      </c>
      <c r="F36" s="19">
        <v>17.399999999999999</v>
      </c>
    </row>
    <row r="37" spans="1:6" x14ac:dyDescent="0.25">
      <c r="A37" s="12">
        <v>28</v>
      </c>
      <c r="B37" s="1"/>
      <c r="C37" s="15" t="s">
        <v>208</v>
      </c>
      <c r="D37" s="1" t="s">
        <v>57</v>
      </c>
      <c r="E37" s="19">
        <v>20.9</v>
      </c>
      <c r="F37" s="19">
        <v>20.6</v>
      </c>
    </row>
    <row r="38" spans="1:6" x14ac:dyDescent="0.25">
      <c r="A38" s="12">
        <v>29</v>
      </c>
      <c r="B38" s="1"/>
      <c r="C38" s="15" t="s">
        <v>134</v>
      </c>
      <c r="D38" s="1" t="s">
        <v>58</v>
      </c>
      <c r="E38" s="19">
        <v>11.3</v>
      </c>
      <c r="F38" s="19">
        <v>11.1</v>
      </c>
    </row>
    <row r="39" spans="1:6" x14ac:dyDescent="0.25">
      <c r="A39" s="12">
        <v>30</v>
      </c>
      <c r="B39" s="1"/>
      <c r="C39" s="15" t="s">
        <v>135</v>
      </c>
      <c r="D39" s="1" t="s">
        <v>58</v>
      </c>
      <c r="E39" s="19">
        <v>3.2</v>
      </c>
      <c r="F39" s="19">
        <v>3.2</v>
      </c>
    </row>
    <row r="40" spans="1:6" x14ac:dyDescent="0.25">
      <c r="A40" s="12">
        <v>31</v>
      </c>
      <c r="B40" s="1"/>
      <c r="C40" s="15" t="s">
        <v>38</v>
      </c>
      <c r="D40" s="1" t="s">
        <v>58</v>
      </c>
      <c r="E40" s="19">
        <v>11.2</v>
      </c>
      <c r="F40" s="19">
        <v>11</v>
      </c>
    </row>
    <row r="41" spans="1:6" x14ac:dyDescent="0.25">
      <c r="A41" s="12">
        <v>32</v>
      </c>
      <c r="B41" s="1"/>
      <c r="C41" s="24" t="s">
        <v>138</v>
      </c>
      <c r="D41" s="1" t="s">
        <v>58</v>
      </c>
      <c r="E41" s="19">
        <v>3.1</v>
      </c>
      <c r="F41" s="19">
        <v>3.1</v>
      </c>
    </row>
    <row r="42" spans="1:6" x14ac:dyDescent="0.25">
      <c r="A42" s="12">
        <v>33</v>
      </c>
      <c r="B42" s="1"/>
      <c r="C42" s="15" t="s">
        <v>173</v>
      </c>
      <c r="D42" s="1" t="s">
        <v>59</v>
      </c>
      <c r="E42" s="19">
        <v>4.3</v>
      </c>
      <c r="F42" s="19">
        <v>4.2</v>
      </c>
    </row>
    <row r="43" spans="1:6" x14ac:dyDescent="0.25">
      <c r="A43" s="12">
        <v>34</v>
      </c>
      <c r="B43" s="1"/>
      <c r="C43" s="24" t="s">
        <v>174</v>
      </c>
      <c r="D43" s="1" t="s">
        <v>59</v>
      </c>
      <c r="E43" s="19">
        <v>7.4</v>
      </c>
      <c r="F43" s="19">
        <v>7.3</v>
      </c>
    </row>
    <row r="44" spans="1:6" x14ac:dyDescent="0.25">
      <c r="A44" s="12">
        <v>35</v>
      </c>
      <c r="B44" s="1"/>
      <c r="C44" s="15" t="s">
        <v>120</v>
      </c>
      <c r="D44" s="1" t="s">
        <v>59</v>
      </c>
      <c r="E44" s="19">
        <v>4.2</v>
      </c>
      <c r="F44" s="19">
        <v>4.0999999999999996</v>
      </c>
    </row>
    <row r="45" spans="1:6" x14ac:dyDescent="0.25">
      <c r="A45" s="12">
        <v>36</v>
      </c>
      <c r="B45" s="1"/>
      <c r="C45" s="15" t="s">
        <v>39</v>
      </c>
      <c r="D45" s="1" t="s">
        <v>59</v>
      </c>
      <c r="E45" s="19">
        <v>0.7</v>
      </c>
      <c r="F45" s="19">
        <v>0.7</v>
      </c>
    </row>
    <row r="46" spans="1:6" x14ac:dyDescent="0.25">
      <c r="A46" s="12">
        <v>37</v>
      </c>
      <c r="B46" s="1"/>
      <c r="C46" s="15" t="s">
        <v>136</v>
      </c>
      <c r="D46" s="1" t="s">
        <v>59</v>
      </c>
      <c r="E46" s="19">
        <v>18.2</v>
      </c>
      <c r="F46" s="19">
        <v>17.899999999999999</v>
      </c>
    </row>
    <row r="47" spans="1:6" x14ac:dyDescent="0.25">
      <c r="A47" s="12">
        <v>38</v>
      </c>
      <c r="B47" s="1"/>
      <c r="C47" s="15" t="s">
        <v>152</v>
      </c>
      <c r="D47" s="1" t="s">
        <v>59</v>
      </c>
      <c r="E47" s="19">
        <v>1.4</v>
      </c>
      <c r="F47" s="19">
        <v>1.4</v>
      </c>
    </row>
    <row r="48" spans="1:6" x14ac:dyDescent="0.25">
      <c r="A48" s="12">
        <v>39</v>
      </c>
      <c r="B48" s="1"/>
      <c r="C48" s="15" t="s">
        <v>40</v>
      </c>
      <c r="D48" s="1" t="s">
        <v>59</v>
      </c>
      <c r="E48" s="19">
        <v>2.2000000000000002</v>
      </c>
      <c r="F48" s="19">
        <v>2.2000000000000002</v>
      </c>
    </row>
    <row r="49" spans="1:12" x14ac:dyDescent="0.25">
      <c r="A49" s="12">
        <v>40</v>
      </c>
      <c r="B49" s="1"/>
      <c r="C49" s="15" t="s">
        <v>137</v>
      </c>
      <c r="D49" s="1" t="s">
        <v>59</v>
      </c>
      <c r="E49" s="19">
        <v>0.8</v>
      </c>
      <c r="F49" s="19">
        <v>0.8</v>
      </c>
    </row>
    <row r="50" spans="1:12" x14ac:dyDescent="0.25">
      <c r="A50" s="12">
        <v>41</v>
      </c>
      <c r="B50" s="1"/>
      <c r="C50" s="134" t="s">
        <v>15</v>
      </c>
      <c r="D50" s="1" t="s">
        <v>56</v>
      </c>
      <c r="E50" s="19">
        <v>1.9</v>
      </c>
      <c r="F50" s="19">
        <v>1.9</v>
      </c>
      <c r="L50" s="32"/>
    </row>
    <row r="51" spans="1:12" x14ac:dyDescent="0.25">
      <c r="A51" s="12">
        <v>42</v>
      </c>
      <c r="B51" s="1"/>
      <c r="C51" s="134" t="s">
        <v>19</v>
      </c>
      <c r="D51" s="1" t="s">
        <v>56</v>
      </c>
      <c r="E51" s="19">
        <v>0.6</v>
      </c>
      <c r="F51" s="19">
        <v>0.6</v>
      </c>
    </row>
    <row r="52" spans="1:12" ht="39.6" x14ac:dyDescent="0.25">
      <c r="A52" s="12">
        <v>43</v>
      </c>
      <c r="B52" s="1" t="s">
        <v>582</v>
      </c>
      <c r="C52" s="64" t="s">
        <v>449</v>
      </c>
      <c r="D52" s="14"/>
      <c r="E52" s="19">
        <f>+E53</f>
        <v>3.2</v>
      </c>
      <c r="F52" s="19">
        <f>+F53</f>
        <v>0</v>
      </c>
    </row>
    <row r="53" spans="1:12" x14ac:dyDescent="0.25">
      <c r="A53" s="12">
        <v>44</v>
      </c>
      <c r="B53" s="1"/>
      <c r="C53" s="24" t="s">
        <v>170</v>
      </c>
      <c r="D53" s="1" t="s">
        <v>56</v>
      </c>
      <c r="E53" s="19">
        <v>3.2</v>
      </c>
      <c r="F53" s="19"/>
    </row>
    <row r="54" spans="1:12" ht="39.6" x14ac:dyDescent="0.25">
      <c r="A54" s="12">
        <v>45</v>
      </c>
      <c r="B54" s="1" t="s">
        <v>583</v>
      </c>
      <c r="C54" s="64" t="s">
        <v>707</v>
      </c>
      <c r="D54" s="1"/>
      <c r="E54" s="19">
        <f>SUM(E55:E75)</f>
        <v>29.2</v>
      </c>
      <c r="F54" s="19">
        <f>SUM(F55:F75)</f>
        <v>28.799999999999997</v>
      </c>
    </row>
    <row r="55" spans="1:12" x14ac:dyDescent="0.25">
      <c r="A55" s="12">
        <v>46</v>
      </c>
      <c r="B55" s="1"/>
      <c r="C55" s="24" t="s">
        <v>176</v>
      </c>
      <c r="D55" s="1" t="s">
        <v>56</v>
      </c>
      <c r="E55" s="19">
        <f>0.4+0.5</f>
        <v>0.9</v>
      </c>
      <c r="F55" s="19">
        <f>0.4+0.5</f>
        <v>0.9</v>
      </c>
      <c r="G55" s="153"/>
    </row>
    <row r="56" spans="1:12" x14ac:dyDescent="0.25">
      <c r="A56" s="12">
        <v>47</v>
      </c>
      <c r="B56" s="1"/>
      <c r="C56" s="24" t="s">
        <v>167</v>
      </c>
      <c r="D56" s="1" t="s">
        <v>56</v>
      </c>
      <c r="E56" s="19">
        <v>0.2</v>
      </c>
      <c r="F56" s="19">
        <v>0.2</v>
      </c>
      <c r="G56" s="153"/>
    </row>
    <row r="57" spans="1:12" x14ac:dyDescent="0.25">
      <c r="A57" s="12">
        <v>48</v>
      </c>
      <c r="B57" s="1"/>
      <c r="C57" s="24" t="s">
        <v>168</v>
      </c>
      <c r="D57" s="1" t="s">
        <v>56</v>
      </c>
      <c r="E57" s="19">
        <f>0.1+0.1</f>
        <v>0.2</v>
      </c>
      <c r="F57" s="19">
        <f>0.1+0.1</f>
        <v>0.2</v>
      </c>
      <c r="G57" s="153"/>
    </row>
    <row r="58" spans="1:12" x14ac:dyDescent="0.25">
      <c r="A58" s="12">
        <v>49</v>
      </c>
      <c r="B58" s="1"/>
      <c r="C58" s="24" t="s">
        <v>170</v>
      </c>
      <c r="D58" s="1" t="s">
        <v>56</v>
      </c>
      <c r="E58" s="19">
        <f>0.1+0.2</f>
        <v>0.30000000000000004</v>
      </c>
      <c r="F58" s="19">
        <f>0.1+0.2</f>
        <v>0.30000000000000004</v>
      </c>
      <c r="G58" s="153"/>
    </row>
    <row r="59" spans="1:12" x14ac:dyDescent="0.25">
      <c r="A59" s="12">
        <v>50</v>
      </c>
      <c r="B59" s="1"/>
      <c r="C59" s="24" t="s">
        <v>171</v>
      </c>
      <c r="D59" s="1" t="s">
        <v>56</v>
      </c>
      <c r="E59" s="19">
        <f>0.1+0.2</f>
        <v>0.30000000000000004</v>
      </c>
      <c r="F59" s="19">
        <f>0.1+0.2</f>
        <v>0.30000000000000004</v>
      </c>
      <c r="G59" s="153"/>
    </row>
    <row r="60" spans="1:12" x14ac:dyDescent="0.25">
      <c r="A60" s="12">
        <v>51</v>
      </c>
      <c r="B60" s="1"/>
      <c r="C60" s="15" t="s">
        <v>208</v>
      </c>
      <c r="D60" s="1" t="s">
        <v>57</v>
      </c>
      <c r="E60" s="19">
        <f>0.3+0.2</f>
        <v>0.5</v>
      </c>
      <c r="F60" s="19">
        <f>0.3+0.2</f>
        <v>0.5</v>
      </c>
      <c r="G60" s="153"/>
    </row>
    <row r="61" spans="1:12" x14ac:dyDescent="0.25">
      <c r="A61" s="12">
        <v>52</v>
      </c>
      <c r="B61" s="1"/>
      <c r="C61" s="24" t="s">
        <v>175</v>
      </c>
      <c r="D61" s="1" t="s">
        <v>58</v>
      </c>
      <c r="E61" s="19">
        <f>1.8+2</f>
        <v>3.8</v>
      </c>
      <c r="F61" s="19">
        <f>1.7+1.9</f>
        <v>3.5999999999999996</v>
      </c>
      <c r="G61" s="153"/>
    </row>
    <row r="62" spans="1:12" ht="26.4" x14ac:dyDescent="0.25">
      <c r="A62" s="12">
        <v>53</v>
      </c>
      <c r="B62" s="1"/>
      <c r="C62" s="24" t="s">
        <v>44</v>
      </c>
      <c r="D62" s="14" t="s">
        <v>119</v>
      </c>
      <c r="E62" s="19">
        <v>0.2</v>
      </c>
      <c r="F62" s="19">
        <v>0.2</v>
      </c>
      <c r="G62" s="153"/>
    </row>
    <row r="63" spans="1:12" x14ac:dyDescent="0.25">
      <c r="A63" s="12">
        <v>54</v>
      </c>
      <c r="B63" s="1"/>
      <c r="C63" s="15" t="s">
        <v>134</v>
      </c>
      <c r="D63" s="1" t="s">
        <v>58</v>
      </c>
      <c r="E63" s="19">
        <f>0.9+0.9</f>
        <v>1.8</v>
      </c>
      <c r="F63" s="19">
        <f>0.9+0.9</f>
        <v>1.8</v>
      </c>
      <c r="G63" s="153"/>
    </row>
    <row r="64" spans="1:12" x14ac:dyDescent="0.25">
      <c r="A64" s="12">
        <v>55</v>
      </c>
      <c r="B64" s="1"/>
      <c r="C64" s="15" t="s">
        <v>135</v>
      </c>
      <c r="D64" s="1" t="s">
        <v>58</v>
      </c>
      <c r="E64" s="19">
        <v>0.5</v>
      </c>
      <c r="F64" s="19">
        <v>0.5</v>
      </c>
      <c r="G64" s="153"/>
    </row>
    <row r="65" spans="1:7" x14ac:dyDescent="0.25">
      <c r="A65" s="12">
        <v>56</v>
      </c>
      <c r="B65" s="1"/>
      <c r="C65" s="15" t="s">
        <v>38</v>
      </c>
      <c r="D65" s="1" t="s">
        <v>58</v>
      </c>
      <c r="E65" s="19">
        <f>0.4+0.6</f>
        <v>1</v>
      </c>
      <c r="F65" s="19">
        <f>0.4+0.6</f>
        <v>1</v>
      </c>
      <c r="G65" s="153"/>
    </row>
    <row r="66" spans="1:7" x14ac:dyDescent="0.25">
      <c r="A66" s="12">
        <v>57</v>
      </c>
      <c r="B66" s="1"/>
      <c r="C66" s="24" t="s">
        <v>138</v>
      </c>
      <c r="D66" s="1" t="s">
        <v>58</v>
      </c>
      <c r="E66" s="19">
        <f>0.5+0.5</f>
        <v>1</v>
      </c>
      <c r="F66" s="19">
        <f>0.5+0.5</f>
        <v>1</v>
      </c>
      <c r="G66" s="153"/>
    </row>
    <row r="67" spans="1:7" x14ac:dyDescent="0.25">
      <c r="A67" s="12">
        <v>58</v>
      </c>
      <c r="B67" s="1"/>
      <c r="C67" s="15" t="s">
        <v>173</v>
      </c>
      <c r="D67" s="1" t="s">
        <v>59</v>
      </c>
      <c r="E67" s="19">
        <f>0.9+2</f>
        <v>2.9</v>
      </c>
      <c r="F67" s="19">
        <f>0.9+1.9</f>
        <v>2.8</v>
      </c>
      <c r="G67" s="153"/>
    </row>
    <row r="68" spans="1:7" x14ac:dyDescent="0.25">
      <c r="A68" s="12">
        <v>59</v>
      </c>
      <c r="B68" s="1"/>
      <c r="C68" s="24" t="s">
        <v>174</v>
      </c>
      <c r="D68" s="1" t="s">
        <v>59</v>
      </c>
      <c r="E68" s="19">
        <f>0.2+0.5</f>
        <v>0.7</v>
      </c>
      <c r="F68" s="19">
        <f>0.2+0.5</f>
        <v>0.7</v>
      </c>
      <c r="G68" s="153"/>
    </row>
    <row r="69" spans="1:7" x14ac:dyDescent="0.25">
      <c r="A69" s="12">
        <v>60</v>
      </c>
      <c r="B69" s="1"/>
      <c r="C69" s="15" t="s">
        <v>120</v>
      </c>
      <c r="D69" s="1" t="s">
        <v>59</v>
      </c>
      <c r="E69" s="19">
        <f>2.4+3.1</f>
        <v>5.5</v>
      </c>
      <c r="F69" s="19">
        <f>2.3+3.1</f>
        <v>5.4</v>
      </c>
      <c r="G69" s="153"/>
    </row>
    <row r="70" spans="1:7" x14ac:dyDescent="0.25">
      <c r="A70" s="12">
        <v>61</v>
      </c>
      <c r="B70" s="1"/>
      <c r="C70" s="15" t="s">
        <v>136</v>
      </c>
      <c r="D70" s="1" t="s">
        <v>59</v>
      </c>
      <c r="E70" s="19">
        <f>1.8+2.7</f>
        <v>4.5</v>
      </c>
      <c r="F70" s="19">
        <f>1.8+2.7</f>
        <v>4.5</v>
      </c>
      <c r="G70" s="153"/>
    </row>
    <row r="71" spans="1:7" x14ac:dyDescent="0.25">
      <c r="A71" s="12">
        <v>62</v>
      </c>
      <c r="B71" s="1"/>
      <c r="C71" s="15" t="s">
        <v>152</v>
      </c>
      <c r="D71" s="1" t="s">
        <v>59</v>
      </c>
      <c r="E71" s="19">
        <v>0.2</v>
      </c>
      <c r="F71" s="19">
        <v>0.2</v>
      </c>
      <c r="G71" s="153"/>
    </row>
    <row r="72" spans="1:7" x14ac:dyDescent="0.25">
      <c r="A72" s="12">
        <v>63</v>
      </c>
      <c r="B72" s="1"/>
      <c r="C72" s="15" t="s">
        <v>40</v>
      </c>
      <c r="D72" s="1" t="s">
        <v>59</v>
      </c>
      <c r="E72" s="19">
        <f>1.7+1.7</f>
        <v>3.4</v>
      </c>
      <c r="F72" s="19">
        <f>1.7+1.7</f>
        <v>3.4</v>
      </c>
      <c r="G72" s="153"/>
    </row>
    <row r="73" spans="1:7" x14ac:dyDescent="0.25">
      <c r="A73" s="12">
        <v>64</v>
      </c>
      <c r="B73" s="1"/>
      <c r="C73" s="15" t="s">
        <v>137</v>
      </c>
      <c r="D73" s="1" t="s">
        <v>59</v>
      </c>
      <c r="E73" s="19">
        <v>0.8</v>
      </c>
      <c r="F73" s="19">
        <v>0.8</v>
      </c>
      <c r="G73" s="153"/>
    </row>
    <row r="74" spans="1:7" x14ac:dyDescent="0.25">
      <c r="A74" s="12">
        <v>65</v>
      </c>
      <c r="B74" s="1"/>
      <c r="C74" s="158" t="s">
        <v>15</v>
      </c>
      <c r="D74" s="1" t="s">
        <v>56</v>
      </c>
      <c r="E74" s="19">
        <v>0.1</v>
      </c>
      <c r="F74" s="19">
        <v>0.1</v>
      </c>
      <c r="G74" s="153"/>
    </row>
    <row r="75" spans="1:7" x14ac:dyDescent="0.25">
      <c r="A75" s="12">
        <v>66</v>
      </c>
      <c r="B75" s="1"/>
      <c r="C75" s="158" t="s">
        <v>19</v>
      </c>
      <c r="D75" s="1" t="s">
        <v>56</v>
      </c>
      <c r="E75" s="19">
        <f>0.2+0.2</f>
        <v>0.4</v>
      </c>
      <c r="F75" s="19">
        <f>0.2+0.2</f>
        <v>0.4</v>
      </c>
      <c r="G75" s="153"/>
    </row>
    <row r="76" spans="1:7" ht="52.8" x14ac:dyDescent="0.25">
      <c r="A76" s="12">
        <v>67</v>
      </c>
      <c r="B76" s="1" t="s">
        <v>708</v>
      </c>
      <c r="C76" s="64" t="s">
        <v>709</v>
      </c>
      <c r="D76" s="1"/>
      <c r="E76" s="19">
        <f>+E77</f>
        <v>7</v>
      </c>
      <c r="F76" s="19">
        <f>+F77</f>
        <v>6.9</v>
      </c>
    </row>
    <row r="77" spans="1:7" x14ac:dyDescent="0.25">
      <c r="A77" s="12">
        <v>68</v>
      </c>
      <c r="B77" s="1"/>
      <c r="C77" s="24" t="s">
        <v>45</v>
      </c>
      <c r="D77" s="1" t="s">
        <v>60</v>
      </c>
      <c r="E77" s="19">
        <v>7</v>
      </c>
      <c r="F77" s="19">
        <v>6.9</v>
      </c>
    </row>
    <row r="78" spans="1:7" ht="39.6" x14ac:dyDescent="0.25">
      <c r="A78" s="12">
        <v>69</v>
      </c>
      <c r="B78" s="1" t="s">
        <v>711</v>
      </c>
      <c r="C78" s="64" t="s">
        <v>710</v>
      </c>
      <c r="D78" s="1"/>
      <c r="E78" s="19">
        <f>SUM(E79:E80)</f>
        <v>43</v>
      </c>
      <c r="F78" s="19">
        <f>SUM(F79:F80)</f>
        <v>42.4</v>
      </c>
    </row>
    <row r="79" spans="1:7" x14ac:dyDescent="0.25">
      <c r="A79" s="12">
        <v>70</v>
      </c>
      <c r="B79" s="1"/>
      <c r="C79" s="15" t="s">
        <v>38</v>
      </c>
      <c r="D79" s="1" t="s">
        <v>58</v>
      </c>
      <c r="E79" s="19">
        <v>6.4</v>
      </c>
      <c r="F79" s="19">
        <v>6.3</v>
      </c>
    </row>
    <row r="80" spans="1:7" x14ac:dyDescent="0.25">
      <c r="A80" s="12">
        <v>71</v>
      </c>
      <c r="B80" s="1"/>
      <c r="C80" s="15" t="s">
        <v>137</v>
      </c>
      <c r="D80" s="1" t="s">
        <v>59</v>
      </c>
      <c r="E80" s="19">
        <v>36.6</v>
      </c>
      <c r="F80" s="19">
        <v>36.1</v>
      </c>
    </row>
    <row r="81" spans="1:6" ht="26.4" x14ac:dyDescent="0.25">
      <c r="A81" s="12">
        <v>72</v>
      </c>
      <c r="B81" s="1" t="s">
        <v>712</v>
      </c>
      <c r="C81" s="64" t="s">
        <v>713</v>
      </c>
      <c r="D81" s="1"/>
      <c r="E81" s="19">
        <f>+E82</f>
        <v>37.799999999999997</v>
      </c>
      <c r="F81" s="19">
        <f>+F82</f>
        <v>0</v>
      </c>
    </row>
    <row r="82" spans="1:6" x14ac:dyDescent="0.25">
      <c r="A82" s="12">
        <v>73</v>
      </c>
      <c r="B82" s="1"/>
      <c r="C82" s="24" t="s">
        <v>138</v>
      </c>
      <c r="D82" s="1" t="s">
        <v>58</v>
      </c>
      <c r="E82" s="19">
        <v>37.799999999999997</v>
      </c>
      <c r="F82" s="19"/>
    </row>
    <row r="83" spans="1:6" ht="26.4" x14ac:dyDescent="0.25">
      <c r="A83" s="12">
        <v>74</v>
      </c>
      <c r="B83" s="1" t="s">
        <v>714</v>
      </c>
      <c r="C83" s="95" t="s">
        <v>571</v>
      </c>
      <c r="D83" s="18"/>
      <c r="E83" s="38">
        <f>+E84</f>
        <v>474</v>
      </c>
      <c r="F83" s="38">
        <f>+F84</f>
        <v>0</v>
      </c>
    </row>
    <row r="84" spans="1:6" x14ac:dyDescent="0.25">
      <c r="A84" s="12">
        <v>75</v>
      </c>
      <c r="B84" s="1"/>
      <c r="C84" s="15" t="s">
        <v>367</v>
      </c>
      <c r="D84" s="1"/>
      <c r="E84" s="19">
        <f>+E85</f>
        <v>474</v>
      </c>
      <c r="F84" s="19">
        <f>+F85</f>
        <v>0</v>
      </c>
    </row>
    <row r="85" spans="1:6" ht="26.4" x14ac:dyDescent="0.25">
      <c r="A85" s="12">
        <v>76</v>
      </c>
      <c r="B85" s="1"/>
      <c r="C85" s="82" t="s">
        <v>468</v>
      </c>
      <c r="D85" s="1" t="s">
        <v>58</v>
      </c>
      <c r="E85" s="19">
        <v>474</v>
      </c>
      <c r="F85" s="19"/>
    </row>
    <row r="86" spans="1:6" x14ac:dyDescent="0.25">
      <c r="A86" s="12">
        <v>77</v>
      </c>
      <c r="B86" s="9" t="s">
        <v>63</v>
      </c>
      <c r="C86" s="13" t="s">
        <v>64</v>
      </c>
      <c r="D86" s="63"/>
      <c r="E86" s="63">
        <f>+E87</f>
        <v>50</v>
      </c>
      <c r="F86" s="63">
        <f>+F87</f>
        <v>0</v>
      </c>
    </row>
    <row r="87" spans="1:6" ht="39.6" x14ac:dyDescent="0.25">
      <c r="A87" s="12">
        <v>78</v>
      </c>
      <c r="B87" s="1" t="s">
        <v>238</v>
      </c>
      <c r="C87" s="95" t="s">
        <v>715</v>
      </c>
      <c r="D87" s="1"/>
      <c r="E87" s="19">
        <f>+E88</f>
        <v>50</v>
      </c>
      <c r="F87" s="19">
        <f>+F88</f>
        <v>0</v>
      </c>
    </row>
    <row r="88" spans="1:6" x14ac:dyDescent="0.25">
      <c r="A88" s="12">
        <v>79</v>
      </c>
      <c r="B88" s="1"/>
      <c r="C88" s="35" t="s">
        <v>233</v>
      </c>
      <c r="D88" s="14" t="s">
        <v>236</v>
      </c>
      <c r="E88" s="19">
        <v>50</v>
      </c>
      <c r="F88" s="19"/>
    </row>
    <row r="89" spans="1:6" ht="18" customHeight="1" x14ac:dyDescent="0.25">
      <c r="A89" s="12">
        <v>80</v>
      </c>
      <c r="B89" s="11" t="s">
        <v>21</v>
      </c>
      <c r="C89" s="17" t="s">
        <v>22</v>
      </c>
      <c r="D89" s="14"/>
      <c r="E89" s="63">
        <f>+E90+E95+E97+E99+E101+E118+E120+E122+E127</f>
        <v>936.99999999999989</v>
      </c>
      <c r="F89" s="63">
        <f>+F90+F95+F97+F99+F101+F118+F120+F122+F127</f>
        <v>173.70000000000005</v>
      </c>
    </row>
    <row r="90" spans="1:6" ht="52.8" x14ac:dyDescent="0.25">
      <c r="A90" s="12">
        <v>81</v>
      </c>
      <c r="B90" s="1" t="s">
        <v>239</v>
      </c>
      <c r="C90" s="95" t="s">
        <v>489</v>
      </c>
      <c r="D90" s="14"/>
      <c r="E90" s="38">
        <f>+E91+E92+E93+E94</f>
        <v>11.5</v>
      </c>
      <c r="F90" s="38">
        <f>+F91+F92+F93+F94</f>
        <v>11.399999999999999</v>
      </c>
    </row>
    <row r="91" spans="1:6" ht="12.6" customHeight="1" x14ac:dyDescent="0.25">
      <c r="A91" s="12">
        <v>82</v>
      </c>
      <c r="B91" s="1"/>
      <c r="C91" s="16" t="s">
        <v>1</v>
      </c>
      <c r="D91" s="130" t="s">
        <v>580</v>
      </c>
      <c r="E91" s="19">
        <v>2.4</v>
      </c>
      <c r="F91" s="19">
        <v>2.4</v>
      </c>
    </row>
    <row r="92" spans="1:6" ht="12.6" customHeight="1" x14ac:dyDescent="0.25">
      <c r="A92" s="12">
        <v>83</v>
      </c>
      <c r="B92" s="1"/>
      <c r="C92" s="62" t="s">
        <v>153</v>
      </c>
      <c r="D92" s="14" t="s">
        <v>23</v>
      </c>
      <c r="E92" s="19">
        <v>2.4</v>
      </c>
      <c r="F92" s="19">
        <v>2.4</v>
      </c>
    </row>
    <row r="93" spans="1:6" ht="12.6" customHeight="1" x14ac:dyDescent="0.25">
      <c r="A93" s="12">
        <v>84</v>
      </c>
      <c r="B93" s="1"/>
      <c r="C93" s="134" t="s">
        <v>15</v>
      </c>
      <c r="D93" s="14" t="s">
        <v>103</v>
      </c>
      <c r="E93" s="19">
        <v>2.4</v>
      </c>
      <c r="F93" s="19">
        <v>2.4</v>
      </c>
    </row>
    <row r="94" spans="1:6" ht="12.6" customHeight="1" x14ac:dyDescent="0.25">
      <c r="A94" s="12">
        <v>85</v>
      </c>
      <c r="B94" s="1"/>
      <c r="C94" s="134" t="s">
        <v>19</v>
      </c>
      <c r="D94" s="23" t="s">
        <v>70</v>
      </c>
      <c r="E94" s="19">
        <v>4.3</v>
      </c>
      <c r="F94" s="19">
        <v>4.2</v>
      </c>
    </row>
    <row r="95" spans="1:6" ht="26.4" x14ac:dyDescent="0.25">
      <c r="A95" s="12">
        <v>86</v>
      </c>
      <c r="B95" s="1" t="s">
        <v>240</v>
      </c>
      <c r="C95" s="95" t="s">
        <v>382</v>
      </c>
      <c r="D95" s="14"/>
      <c r="E95" s="38">
        <f>+E96</f>
        <v>134.6</v>
      </c>
      <c r="F95" s="38">
        <f>+F96</f>
        <v>1.7</v>
      </c>
    </row>
    <row r="96" spans="1:6" x14ac:dyDescent="0.25">
      <c r="A96" s="12">
        <v>87</v>
      </c>
      <c r="B96" s="1"/>
      <c r="C96" s="39" t="s">
        <v>3</v>
      </c>
      <c r="D96" s="14" t="s">
        <v>23</v>
      </c>
      <c r="E96" s="19">
        <v>134.6</v>
      </c>
      <c r="F96" s="19">
        <v>1.7</v>
      </c>
    </row>
    <row r="97" spans="1:6" ht="52.8" x14ac:dyDescent="0.25">
      <c r="A97" s="12">
        <v>88</v>
      </c>
      <c r="B97" s="1" t="s">
        <v>241</v>
      </c>
      <c r="C97" s="129" t="s">
        <v>668</v>
      </c>
      <c r="D97" s="14"/>
      <c r="E97" s="38">
        <f>+E98</f>
        <v>371.2</v>
      </c>
      <c r="F97" s="38">
        <f>+F98</f>
        <v>0</v>
      </c>
    </row>
    <row r="98" spans="1:6" x14ac:dyDescent="0.25">
      <c r="A98" s="12">
        <v>89</v>
      </c>
      <c r="B98" s="1"/>
      <c r="C98" s="15" t="s">
        <v>367</v>
      </c>
      <c r="D98" s="14" t="s">
        <v>671</v>
      </c>
      <c r="E98" s="19">
        <v>371.2</v>
      </c>
      <c r="F98" s="19"/>
    </row>
    <row r="99" spans="1:6" ht="26.4" x14ac:dyDescent="0.25">
      <c r="A99" s="12">
        <v>90</v>
      </c>
      <c r="B99" s="1" t="s">
        <v>242</v>
      </c>
      <c r="C99" s="64" t="s">
        <v>659</v>
      </c>
      <c r="D99" s="140"/>
      <c r="E99" s="38">
        <f>+E100</f>
        <v>150.4</v>
      </c>
      <c r="F99" s="38">
        <f>+F100</f>
        <v>2.5</v>
      </c>
    </row>
    <row r="100" spans="1:6" x14ac:dyDescent="0.25">
      <c r="A100" s="12">
        <v>91</v>
      </c>
      <c r="B100" s="1"/>
      <c r="C100" s="15" t="s">
        <v>3</v>
      </c>
      <c r="D100" s="14" t="s">
        <v>671</v>
      </c>
      <c r="E100" s="19">
        <v>150.4</v>
      </c>
      <c r="F100" s="19">
        <f>2.9-0.4</f>
        <v>2.5</v>
      </c>
    </row>
    <row r="101" spans="1:6" ht="39.6" x14ac:dyDescent="0.25">
      <c r="A101" s="12">
        <v>92</v>
      </c>
      <c r="B101" s="1" t="s">
        <v>243</v>
      </c>
      <c r="C101" s="64" t="s">
        <v>660</v>
      </c>
      <c r="D101" s="140"/>
      <c r="E101" s="38">
        <f>SUM(E102:E117)</f>
        <v>135.40000000000003</v>
      </c>
      <c r="F101" s="38">
        <f>SUM(F102:F117)</f>
        <v>133.60000000000005</v>
      </c>
    </row>
    <row r="102" spans="1:6" ht="39.6" x14ac:dyDescent="0.25">
      <c r="A102" s="12">
        <v>93</v>
      </c>
      <c r="B102" s="1"/>
      <c r="C102" s="24" t="s">
        <v>1</v>
      </c>
      <c r="D102" s="14" t="s">
        <v>69</v>
      </c>
      <c r="E102" s="19">
        <v>53.2</v>
      </c>
      <c r="F102" s="19">
        <v>52.4</v>
      </c>
    </row>
    <row r="103" spans="1:6" x14ac:dyDescent="0.25">
      <c r="A103" s="12">
        <v>94</v>
      </c>
      <c r="B103" s="1"/>
      <c r="C103" s="76" t="s">
        <v>2</v>
      </c>
      <c r="D103" s="14" t="s">
        <v>70</v>
      </c>
      <c r="E103" s="19">
        <v>2.9</v>
      </c>
      <c r="F103" s="19">
        <v>2.9</v>
      </c>
    </row>
    <row r="104" spans="1:6" x14ac:dyDescent="0.25">
      <c r="A104" s="12">
        <v>95</v>
      </c>
      <c r="B104" s="1"/>
      <c r="C104" s="134" t="s">
        <v>15</v>
      </c>
      <c r="D104" s="14" t="s">
        <v>103</v>
      </c>
      <c r="E104" s="19">
        <v>11.6</v>
      </c>
      <c r="F104" s="19">
        <v>11.4</v>
      </c>
    </row>
    <row r="105" spans="1:6" x14ac:dyDescent="0.25">
      <c r="A105" s="12">
        <v>96</v>
      </c>
      <c r="B105" s="1"/>
      <c r="C105" s="134" t="s">
        <v>19</v>
      </c>
      <c r="D105" s="14" t="s">
        <v>70</v>
      </c>
      <c r="E105" s="19">
        <v>8.1999999999999993</v>
      </c>
      <c r="F105" s="19">
        <v>8.1</v>
      </c>
    </row>
    <row r="106" spans="1:6" x14ac:dyDescent="0.25">
      <c r="A106" s="12">
        <v>97</v>
      </c>
      <c r="B106" s="1"/>
      <c r="C106" s="24" t="s">
        <v>153</v>
      </c>
      <c r="D106" s="14" t="s">
        <v>23</v>
      </c>
      <c r="E106" s="19">
        <v>46.3</v>
      </c>
      <c r="F106" s="19">
        <v>45.6</v>
      </c>
    </row>
    <row r="107" spans="1:6" ht="39.6" x14ac:dyDescent="0.25">
      <c r="A107" s="12">
        <v>98</v>
      </c>
      <c r="B107" s="1"/>
      <c r="C107" s="15" t="s">
        <v>8</v>
      </c>
      <c r="D107" s="14" t="s">
        <v>114</v>
      </c>
      <c r="E107" s="19">
        <v>2.1</v>
      </c>
      <c r="F107" s="19">
        <v>2.1</v>
      </c>
    </row>
    <row r="108" spans="1:6" ht="39.6" x14ac:dyDescent="0.25">
      <c r="A108" s="12">
        <v>99</v>
      </c>
      <c r="B108" s="1"/>
      <c r="C108" s="15" t="s">
        <v>4</v>
      </c>
      <c r="D108" s="14" t="s">
        <v>139</v>
      </c>
      <c r="E108" s="19">
        <v>2</v>
      </c>
      <c r="F108" s="19">
        <v>2</v>
      </c>
    </row>
    <row r="109" spans="1:6" ht="39.6" x14ac:dyDescent="0.25">
      <c r="A109" s="12">
        <v>100</v>
      </c>
      <c r="B109" s="1"/>
      <c r="C109" s="15" t="s">
        <v>5</v>
      </c>
      <c r="D109" s="14" t="s">
        <v>114</v>
      </c>
      <c r="E109" s="19">
        <v>0.9</v>
      </c>
      <c r="F109" s="19">
        <v>0.9</v>
      </c>
    </row>
    <row r="110" spans="1:6" ht="39.6" x14ac:dyDescent="0.25">
      <c r="A110" s="12">
        <v>101</v>
      </c>
      <c r="B110" s="1"/>
      <c r="C110" s="15" t="s">
        <v>7</v>
      </c>
      <c r="D110" s="14" t="s">
        <v>114</v>
      </c>
      <c r="E110" s="19">
        <v>0.9</v>
      </c>
      <c r="F110" s="19">
        <v>0.9</v>
      </c>
    </row>
    <row r="111" spans="1:6" ht="39.6" x14ac:dyDescent="0.25">
      <c r="A111" s="12">
        <v>102</v>
      </c>
      <c r="B111" s="1"/>
      <c r="C111" s="15" t="s">
        <v>6</v>
      </c>
      <c r="D111" s="14" t="s">
        <v>114</v>
      </c>
      <c r="E111" s="19">
        <v>1.4</v>
      </c>
      <c r="F111" s="19">
        <v>1.4</v>
      </c>
    </row>
    <row r="112" spans="1:6" ht="39.6" x14ac:dyDescent="0.25">
      <c r="A112" s="12">
        <v>103</v>
      </c>
      <c r="B112" s="1"/>
      <c r="C112" s="15" t="s">
        <v>9</v>
      </c>
      <c r="D112" s="14" t="s">
        <v>114</v>
      </c>
      <c r="E112" s="19">
        <v>0.9</v>
      </c>
      <c r="F112" s="19">
        <v>0.9</v>
      </c>
    </row>
    <row r="113" spans="1:8" ht="39.6" x14ac:dyDescent="0.25">
      <c r="A113" s="12">
        <v>104</v>
      </c>
      <c r="B113" s="1"/>
      <c r="C113" s="16" t="s">
        <v>10</v>
      </c>
      <c r="D113" s="14" t="s">
        <v>114</v>
      </c>
      <c r="E113" s="19">
        <v>0.9</v>
      </c>
      <c r="F113" s="19">
        <v>0.9</v>
      </c>
    </row>
    <row r="114" spans="1:8" ht="39.6" x14ac:dyDescent="0.25">
      <c r="A114" s="12">
        <v>105</v>
      </c>
      <c r="B114" s="1"/>
      <c r="C114" s="15" t="s">
        <v>12</v>
      </c>
      <c r="D114" s="14" t="s">
        <v>114</v>
      </c>
      <c r="E114" s="19">
        <v>0.9</v>
      </c>
      <c r="F114" s="19">
        <v>0.9</v>
      </c>
    </row>
    <row r="115" spans="1:8" ht="39.6" x14ac:dyDescent="0.25">
      <c r="A115" s="12">
        <v>106</v>
      </c>
      <c r="B115" s="1"/>
      <c r="C115" s="15" t="s">
        <v>11</v>
      </c>
      <c r="D115" s="14" t="s">
        <v>114</v>
      </c>
      <c r="E115" s="19">
        <v>0.9</v>
      </c>
      <c r="F115" s="19">
        <v>0.9</v>
      </c>
      <c r="G115" s="153"/>
      <c r="H115" s="153"/>
    </row>
    <row r="116" spans="1:8" ht="39.6" x14ac:dyDescent="0.25">
      <c r="A116" s="12">
        <v>107</v>
      </c>
      <c r="B116" s="1"/>
      <c r="C116" s="15" t="s">
        <v>13</v>
      </c>
      <c r="D116" s="14" t="s">
        <v>114</v>
      </c>
      <c r="E116" s="19">
        <v>0.9</v>
      </c>
      <c r="F116" s="19">
        <v>0.9</v>
      </c>
      <c r="G116" s="153"/>
      <c r="H116" s="153"/>
    </row>
    <row r="117" spans="1:8" ht="39.6" x14ac:dyDescent="0.25">
      <c r="A117" s="12">
        <v>108</v>
      </c>
      <c r="B117" s="1"/>
      <c r="C117" s="15" t="s">
        <v>14</v>
      </c>
      <c r="D117" s="14" t="s">
        <v>114</v>
      </c>
      <c r="E117" s="19">
        <v>1.4</v>
      </c>
      <c r="F117" s="19">
        <v>1.4</v>
      </c>
    </row>
    <row r="118" spans="1:8" ht="26.4" x14ac:dyDescent="0.25">
      <c r="A118" s="12">
        <v>109</v>
      </c>
      <c r="B118" s="1" t="s">
        <v>664</v>
      </c>
      <c r="C118" s="64" t="s">
        <v>665</v>
      </c>
      <c r="D118" s="140"/>
      <c r="E118" s="38">
        <f>+E119</f>
        <v>24.8</v>
      </c>
      <c r="F118" s="38">
        <f>+F119</f>
        <v>0</v>
      </c>
    </row>
    <row r="119" spans="1:8" x14ac:dyDescent="0.25">
      <c r="A119" s="12">
        <v>110</v>
      </c>
      <c r="B119" s="1"/>
      <c r="C119" s="15" t="s">
        <v>367</v>
      </c>
      <c r="D119" s="14" t="s">
        <v>671</v>
      </c>
      <c r="E119" s="19">
        <f>24.8</f>
        <v>24.8</v>
      </c>
      <c r="F119" s="19"/>
    </row>
    <row r="120" spans="1:8" ht="39.6" x14ac:dyDescent="0.25">
      <c r="A120" s="12">
        <v>111</v>
      </c>
      <c r="B120" s="1" t="s">
        <v>666</v>
      </c>
      <c r="C120" s="64" t="s">
        <v>667</v>
      </c>
      <c r="D120" s="140"/>
      <c r="E120" s="38">
        <f>+E121</f>
        <v>84.1</v>
      </c>
      <c r="F120" s="38">
        <f>+F121</f>
        <v>3.4</v>
      </c>
    </row>
    <row r="121" spans="1:8" x14ac:dyDescent="0.25">
      <c r="A121" s="12">
        <v>112</v>
      </c>
      <c r="B121" s="1"/>
      <c r="C121" s="39" t="s">
        <v>3</v>
      </c>
      <c r="D121" s="14" t="s">
        <v>671</v>
      </c>
      <c r="E121" s="19">
        <v>84.1</v>
      </c>
      <c r="F121" s="19">
        <f>4-0.6</f>
        <v>3.4</v>
      </c>
    </row>
    <row r="122" spans="1:8" ht="26.4" x14ac:dyDescent="0.25">
      <c r="A122" s="12">
        <v>113</v>
      </c>
      <c r="B122" s="1" t="s">
        <v>689</v>
      </c>
      <c r="C122" s="95" t="s">
        <v>690</v>
      </c>
      <c r="D122" s="140"/>
      <c r="E122" s="38">
        <f>SUM(E123:E126)</f>
        <v>21.3</v>
      </c>
      <c r="F122" s="38">
        <f>SUM(F123:F126)</f>
        <v>21</v>
      </c>
    </row>
    <row r="123" spans="1:8" ht="39.6" x14ac:dyDescent="0.25">
      <c r="A123" s="12">
        <v>114</v>
      </c>
      <c r="B123" s="1"/>
      <c r="C123" s="16" t="s">
        <v>1</v>
      </c>
      <c r="D123" s="14" t="s">
        <v>69</v>
      </c>
      <c r="E123" s="19">
        <v>12.5</v>
      </c>
      <c r="F123" s="19">
        <v>12.3</v>
      </c>
    </row>
    <row r="124" spans="1:8" x14ac:dyDescent="0.25">
      <c r="A124" s="12">
        <v>115</v>
      </c>
      <c r="B124" s="1"/>
      <c r="C124" s="62" t="s">
        <v>2</v>
      </c>
      <c r="D124" s="147" t="s">
        <v>70</v>
      </c>
      <c r="E124" s="19">
        <v>4.2</v>
      </c>
      <c r="F124" s="19">
        <v>4.0999999999999996</v>
      </c>
    </row>
    <row r="125" spans="1:8" x14ac:dyDescent="0.25">
      <c r="A125" s="12">
        <v>116</v>
      </c>
      <c r="B125" s="1"/>
      <c r="C125" s="134" t="s">
        <v>15</v>
      </c>
      <c r="D125" s="14" t="s">
        <v>103</v>
      </c>
      <c r="E125" s="19">
        <v>1.8</v>
      </c>
      <c r="F125" s="19">
        <v>1.8</v>
      </c>
    </row>
    <row r="126" spans="1:8" x14ac:dyDescent="0.25">
      <c r="A126" s="12">
        <v>117</v>
      </c>
      <c r="B126" s="1"/>
      <c r="C126" s="62" t="s">
        <v>153</v>
      </c>
      <c r="D126" s="14" t="s">
        <v>23</v>
      </c>
      <c r="E126" s="19">
        <v>2.8</v>
      </c>
      <c r="F126" s="19">
        <v>2.8</v>
      </c>
    </row>
    <row r="127" spans="1:8" ht="39.6" x14ac:dyDescent="0.25">
      <c r="A127" s="12">
        <v>118</v>
      </c>
      <c r="B127" s="1" t="s">
        <v>726</v>
      </c>
      <c r="C127" s="88" t="s">
        <v>727</v>
      </c>
      <c r="D127" s="14"/>
      <c r="E127" s="19">
        <f>+E128</f>
        <v>3.7</v>
      </c>
      <c r="F127" s="19">
        <f>+F128</f>
        <v>0.1</v>
      </c>
    </row>
    <row r="128" spans="1:8" x14ac:dyDescent="0.25">
      <c r="A128" s="12">
        <v>119</v>
      </c>
      <c r="B128" s="1"/>
      <c r="C128" s="15" t="s">
        <v>367</v>
      </c>
      <c r="D128" s="14" t="s">
        <v>671</v>
      </c>
      <c r="E128" s="19">
        <v>3.7</v>
      </c>
      <c r="F128" s="19">
        <v>0.1</v>
      </c>
    </row>
    <row r="129" spans="1:6" x14ac:dyDescent="0.25">
      <c r="A129" s="12">
        <v>120</v>
      </c>
      <c r="B129" s="11" t="s">
        <v>75</v>
      </c>
      <c r="C129" s="17" t="s">
        <v>222</v>
      </c>
      <c r="D129" s="18"/>
      <c r="E129" s="63">
        <f>+E130</f>
        <v>2.4</v>
      </c>
      <c r="F129" s="63">
        <f>+F130</f>
        <v>2.4</v>
      </c>
    </row>
    <row r="130" spans="1:6" ht="52.8" x14ac:dyDescent="0.25">
      <c r="A130" s="12">
        <v>121</v>
      </c>
      <c r="B130" s="1" t="s">
        <v>384</v>
      </c>
      <c r="C130" s="95" t="s">
        <v>489</v>
      </c>
      <c r="D130" s="18"/>
      <c r="E130" s="38">
        <f>+E131</f>
        <v>2.4</v>
      </c>
      <c r="F130" s="38">
        <f>+F131</f>
        <v>2.4</v>
      </c>
    </row>
    <row r="131" spans="1:6" x14ac:dyDescent="0.25">
      <c r="A131" s="12">
        <v>122</v>
      </c>
      <c r="B131" s="1"/>
      <c r="C131" s="24" t="s">
        <v>112</v>
      </c>
      <c r="D131" s="1" t="s">
        <v>76</v>
      </c>
      <c r="E131" s="19">
        <v>2.4</v>
      </c>
      <c r="F131" s="19">
        <v>2.4</v>
      </c>
    </row>
    <row r="132" spans="1:6" x14ac:dyDescent="0.25">
      <c r="A132" s="12">
        <v>123</v>
      </c>
      <c r="B132" s="11" t="s">
        <v>77</v>
      </c>
      <c r="C132" s="17" t="s">
        <v>78</v>
      </c>
      <c r="D132" s="18"/>
      <c r="E132" s="96">
        <f>+E133+E135+E139</f>
        <v>622.4</v>
      </c>
      <c r="F132" s="96">
        <f>+F133+F135+F139</f>
        <v>16.7</v>
      </c>
    </row>
    <row r="133" spans="1:6" ht="26.4" x14ac:dyDescent="0.25">
      <c r="A133" s="12">
        <v>124</v>
      </c>
      <c r="B133" s="1" t="s">
        <v>375</v>
      </c>
      <c r="C133" s="95" t="s">
        <v>514</v>
      </c>
      <c r="D133" s="18"/>
      <c r="E133" s="19">
        <f>+E134</f>
        <v>55.5</v>
      </c>
      <c r="F133" s="19">
        <f>+F134</f>
        <v>0</v>
      </c>
    </row>
    <row r="134" spans="1:6" ht="26.4" x14ac:dyDescent="0.25">
      <c r="A134" s="12">
        <v>125</v>
      </c>
      <c r="B134" s="1"/>
      <c r="C134" s="15" t="s">
        <v>51</v>
      </c>
      <c r="D134" s="1" t="s">
        <v>80</v>
      </c>
      <c r="E134" s="19">
        <v>55.5</v>
      </c>
      <c r="F134" s="19"/>
    </row>
    <row r="135" spans="1:6" ht="52.8" x14ac:dyDescent="0.25">
      <c r="A135" s="12">
        <v>126</v>
      </c>
      <c r="B135" s="1" t="s">
        <v>374</v>
      </c>
      <c r="C135" s="95" t="s">
        <v>489</v>
      </c>
      <c r="D135" s="18"/>
      <c r="E135" s="19">
        <f>SUM(E136:E138)</f>
        <v>16.899999999999999</v>
      </c>
      <c r="F135" s="19">
        <f>SUM(F136:F138)</f>
        <v>16.7</v>
      </c>
    </row>
    <row r="136" spans="1:6" x14ac:dyDescent="0.25">
      <c r="A136" s="12">
        <v>127</v>
      </c>
      <c r="B136" s="1"/>
      <c r="C136" s="24" t="s">
        <v>42</v>
      </c>
      <c r="D136" s="1" t="s">
        <v>79</v>
      </c>
      <c r="E136" s="19">
        <v>4.9000000000000004</v>
      </c>
      <c r="F136" s="19">
        <v>4.8</v>
      </c>
    </row>
    <row r="137" spans="1:6" ht="26.4" x14ac:dyDescent="0.25">
      <c r="A137" s="12">
        <v>128</v>
      </c>
      <c r="B137" s="1"/>
      <c r="C137" s="15" t="s">
        <v>51</v>
      </c>
      <c r="D137" s="1" t="s">
        <v>80</v>
      </c>
      <c r="E137" s="19">
        <v>9.6</v>
      </c>
      <c r="F137" s="19">
        <v>9.5</v>
      </c>
    </row>
    <row r="138" spans="1:6" x14ac:dyDescent="0.25">
      <c r="A138" s="12">
        <v>129</v>
      </c>
      <c r="B138" s="1"/>
      <c r="C138" s="76" t="s">
        <v>41</v>
      </c>
      <c r="D138" s="1" t="s">
        <v>81</v>
      </c>
      <c r="E138" s="19">
        <v>2.4</v>
      </c>
      <c r="F138" s="19">
        <v>2.4</v>
      </c>
    </row>
    <row r="139" spans="1:6" ht="26.4" x14ac:dyDescent="0.25">
      <c r="A139" s="12">
        <v>130</v>
      </c>
      <c r="B139" s="1" t="s">
        <v>386</v>
      </c>
      <c r="C139" s="95" t="s">
        <v>571</v>
      </c>
      <c r="D139" s="18"/>
      <c r="E139" s="38">
        <f>+E140</f>
        <v>550</v>
      </c>
      <c r="F139" s="38">
        <f>+F140</f>
        <v>0</v>
      </c>
    </row>
    <row r="140" spans="1:6" x14ac:dyDescent="0.25">
      <c r="A140" s="12">
        <v>131</v>
      </c>
      <c r="B140" s="1"/>
      <c r="C140" s="15" t="s">
        <v>3</v>
      </c>
      <c r="D140" s="18"/>
      <c r="E140" s="19">
        <f>+E141</f>
        <v>550</v>
      </c>
      <c r="F140" s="19">
        <f>+F141</f>
        <v>0</v>
      </c>
    </row>
    <row r="141" spans="1:6" ht="26.4" x14ac:dyDescent="0.25">
      <c r="A141" s="12">
        <v>132</v>
      </c>
      <c r="B141" s="1"/>
      <c r="C141" s="82" t="s">
        <v>383</v>
      </c>
      <c r="D141" s="18" t="s">
        <v>79</v>
      </c>
      <c r="E141" s="19">
        <v>550</v>
      </c>
      <c r="F141" s="19"/>
    </row>
    <row r="142" spans="1:6" ht="26.4" x14ac:dyDescent="0.25">
      <c r="A142" s="12">
        <v>133</v>
      </c>
      <c r="B142" s="11" t="s">
        <v>83</v>
      </c>
      <c r="C142" s="66" t="s">
        <v>84</v>
      </c>
      <c r="D142" s="1"/>
      <c r="E142" s="19">
        <f>+E143</f>
        <v>3008.3</v>
      </c>
      <c r="F142" s="19">
        <f>+F143</f>
        <v>0</v>
      </c>
    </row>
    <row r="143" spans="1:6" ht="26.4" x14ac:dyDescent="0.25">
      <c r="A143" s="12">
        <v>134</v>
      </c>
      <c r="B143" s="1" t="s">
        <v>691</v>
      </c>
      <c r="C143" s="64" t="s">
        <v>692</v>
      </c>
      <c r="D143" s="1"/>
      <c r="E143" s="38">
        <f>+E144</f>
        <v>3008.3</v>
      </c>
      <c r="F143" s="38">
        <f>+F144</f>
        <v>0</v>
      </c>
    </row>
    <row r="144" spans="1:6" x14ac:dyDescent="0.25">
      <c r="A144" s="12">
        <v>135</v>
      </c>
      <c r="B144" s="11"/>
      <c r="C144" s="15" t="s">
        <v>3</v>
      </c>
      <c r="D144" s="1" t="s">
        <v>629</v>
      </c>
      <c r="E144" s="19">
        <v>3008.3</v>
      </c>
      <c r="F144" s="19"/>
    </row>
    <row r="145" spans="1:6" x14ac:dyDescent="0.25">
      <c r="A145" s="12">
        <v>136</v>
      </c>
      <c r="B145" s="11" t="s">
        <v>88</v>
      </c>
      <c r="C145" s="17" t="s">
        <v>89</v>
      </c>
      <c r="D145" s="1"/>
      <c r="E145" s="63">
        <f>+E146+E148</f>
        <v>33.200000000000003</v>
      </c>
      <c r="F145" s="63">
        <f>+F146+F148</f>
        <v>0</v>
      </c>
    </row>
    <row r="146" spans="1:6" ht="26.4" x14ac:dyDescent="0.25">
      <c r="A146" s="12">
        <v>137</v>
      </c>
      <c r="B146" s="1" t="s">
        <v>378</v>
      </c>
      <c r="C146" s="64" t="s">
        <v>450</v>
      </c>
      <c r="D146" s="1"/>
      <c r="E146" s="38">
        <f>+E147</f>
        <v>8.1999999999999993</v>
      </c>
      <c r="F146" s="38">
        <f>+F147</f>
        <v>0</v>
      </c>
    </row>
    <row r="147" spans="1:6" x14ac:dyDescent="0.25">
      <c r="A147" s="12">
        <v>138</v>
      </c>
      <c r="B147" s="1"/>
      <c r="C147" s="39" t="s">
        <v>3</v>
      </c>
      <c r="D147" s="1" t="s">
        <v>131</v>
      </c>
      <c r="E147" s="19">
        <v>8.1999999999999993</v>
      </c>
      <c r="F147" s="19"/>
    </row>
    <row r="148" spans="1:6" ht="26.4" x14ac:dyDescent="0.25">
      <c r="A148" s="12">
        <v>139</v>
      </c>
      <c r="B148" s="1" t="s">
        <v>581</v>
      </c>
      <c r="C148" s="129" t="s">
        <v>379</v>
      </c>
      <c r="D148" s="1"/>
      <c r="E148" s="38">
        <f>+E149</f>
        <v>25</v>
      </c>
      <c r="F148" s="38">
        <f>+F149</f>
        <v>0</v>
      </c>
    </row>
    <row r="149" spans="1:6" x14ac:dyDescent="0.25">
      <c r="A149" s="12">
        <v>140</v>
      </c>
      <c r="B149" s="1"/>
      <c r="C149" s="39" t="s">
        <v>3</v>
      </c>
      <c r="D149" s="14" t="s">
        <v>148</v>
      </c>
      <c r="E149" s="19">
        <v>25</v>
      </c>
      <c r="F149" s="19"/>
    </row>
    <row r="150" spans="1:6" x14ac:dyDescent="0.25">
      <c r="A150" s="12">
        <v>141</v>
      </c>
      <c r="B150" s="11" t="s">
        <v>25</v>
      </c>
      <c r="C150" s="17" t="s">
        <v>26</v>
      </c>
      <c r="D150" s="1"/>
      <c r="E150" s="19">
        <f>+E151</f>
        <v>22.3</v>
      </c>
      <c r="F150" s="19">
        <f>+F151</f>
        <v>0</v>
      </c>
    </row>
    <row r="151" spans="1:6" ht="44.25" customHeight="1" x14ac:dyDescent="0.25">
      <c r="A151" s="12">
        <v>142</v>
      </c>
      <c r="B151" s="1" t="s">
        <v>34</v>
      </c>
      <c r="C151" s="95" t="s">
        <v>688</v>
      </c>
      <c r="D151" s="157"/>
      <c r="E151" s="38">
        <f>+E152</f>
        <v>22.3</v>
      </c>
      <c r="F151" s="38">
        <f>+F152</f>
        <v>0</v>
      </c>
    </row>
    <row r="152" spans="1:6" x14ac:dyDescent="0.25">
      <c r="A152" s="12">
        <v>143</v>
      </c>
      <c r="B152" s="1"/>
      <c r="C152" s="82" t="s">
        <v>3</v>
      </c>
      <c r="D152" s="18" t="s">
        <v>121</v>
      </c>
      <c r="E152" s="19">
        <v>22.3</v>
      </c>
      <c r="F152" s="19"/>
    </row>
    <row r="153" spans="1:6" x14ac:dyDescent="0.25">
      <c r="A153" s="12">
        <v>144</v>
      </c>
      <c r="B153" s="11"/>
      <c r="C153" s="28" t="s">
        <v>20</v>
      </c>
      <c r="D153" s="1"/>
      <c r="E153" s="57">
        <f>+E10++E86+E89+E129+E132+E142+E145+E150</f>
        <v>5780.9</v>
      </c>
      <c r="F153" s="57">
        <f>+F10++F86+F89+F129+F132+F142+F145+F150</f>
        <v>516.09999999999991</v>
      </c>
    </row>
    <row r="154" spans="1:6" x14ac:dyDescent="0.25">
      <c r="C154" s="89" t="s">
        <v>113</v>
      </c>
      <c r="D154" s="7"/>
      <c r="E154" s="20"/>
      <c r="F154" s="20"/>
    </row>
    <row r="155" spans="1:6" ht="13.5" customHeight="1" x14ac:dyDescent="0.25">
      <c r="C155" s="97"/>
      <c r="E155" s="20"/>
      <c r="F155" s="20"/>
    </row>
    <row r="156" spans="1:6" x14ac:dyDescent="0.25">
      <c r="C156" s="97"/>
      <c r="D156" s="2"/>
      <c r="E156" s="20"/>
      <c r="F156" s="20"/>
    </row>
    <row r="157" spans="1:6" x14ac:dyDescent="0.25">
      <c r="D157" s="5"/>
      <c r="E157" s="78"/>
      <c r="F157" s="78"/>
    </row>
    <row r="158" spans="1:6" x14ac:dyDescent="0.25">
      <c r="C158" s="131"/>
      <c r="E158" s="78"/>
      <c r="F158" s="78"/>
    </row>
    <row r="159" spans="1:6" x14ac:dyDescent="0.25">
      <c r="C159" s="132"/>
      <c r="E159" s="78"/>
      <c r="F159" s="78"/>
    </row>
    <row r="160" spans="1:6" x14ac:dyDescent="0.25">
      <c r="C160" s="133"/>
    </row>
    <row r="161" spans="3:9" x14ac:dyDescent="0.25">
      <c r="C161" s="131"/>
    </row>
    <row r="162" spans="3:9" x14ac:dyDescent="0.25">
      <c r="C162" s="98"/>
    </row>
    <row r="166" spans="3:9" x14ac:dyDescent="0.25">
      <c r="E166" s="78"/>
      <c r="I166" s="48"/>
    </row>
    <row r="167" spans="3:9" x14ac:dyDescent="0.25">
      <c r="E167" s="78"/>
    </row>
    <row r="169" spans="3:9" x14ac:dyDescent="0.25">
      <c r="E169" s="78"/>
    </row>
  </sheetData>
  <mergeCells count="4">
    <mergeCell ref="C1:F1"/>
    <mergeCell ref="C2:F2"/>
    <mergeCell ref="E3:F3"/>
    <mergeCell ref="A5:F5"/>
  </mergeCells>
  <pageMargins left="0.59055118110236227" right="0" top="0.39370078740157483" bottom="0.19685039370078741" header="0.31496062992125984" footer="0.31496062992125984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8</vt:i4>
      </vt:variant>
    </vt:vector>
  </HeadingPairs>
  <TitlesOfParts>
    <vt:vector size="12" baseType="lpstr">
      <vt:lpstr>1 pr</vt:lpstr>
      <vt:lpstr>3 pr</vt:lpstr>
      <vt:lpstr>7 pr</vt:lpstr>
      <vt:lpstr>10 pr</vt:lpstr>
      <vt:lpstr>'1 pr'!Print_Area</vt:lpstr>
      <vt:lpstr>'10 pr'!Print_Area</vt:lpstr>
      <vt:lpstr>'3 pr'!Print_Area</vt:lpstr>
      <vt:lpstr>'7 pr'!Print_Area</vt:lpstr>
      <vt:lpstr>'1 pr'!Print_Titles</vt:lpstr>
      <vt:lpstr>'10 pr'!Print_Titles</vt:lpstr>
      <vt:lpstr>'3 pr'!Print_Titles</vt:lpstr>
      <vt:lpstr>'7 pr'!Print_Titles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Vartotoja</cp:lastModifiedBy>
  <cp:lastPrinted>2022-05-30T08:12:21Z</cp:lastPrinted>
  <dcterms:created xsi:type="dcterms:W3CDTF">1996-10-14T23:33:28Z</dcterms:created>
  <dcterms:modified xsi:type="dcterms:W3CDTF">2022-05-30T08:12:29Z</dcterms:modified>
</cp:coreProperties>
</file>