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32 POSĖDIS\SP\TS\"/>
    </mc:Choice>
  </mc:AlternateContent>
  <bookViews>
    <workbookView xWindow="0" yWindow="0" windowWidth="19200" windowHeight="7248" tabRatio="897"/>
  </bookViews>
  <sheets>
    <sheet name="1 pr" sheetId="67" r:id="rId1"/>
    <sheet name="3 pr" sheetId="66" r:id="rId2"/>
    <sheet name="8 pr" sheetId="61" r:id="rId3"/>
    <sheet name="10 pr" sheetId="69" r:id="rId4"/>
    <sheet name="12 pr" sheetId="70" r:id="rId5"/>
  </sheets>
  <definedNames>
    <definedName name="_xlnm.Print_Area" localSheetId="0">'1 pr'!$A$1:$C$108</definedName>
    <definedName name="_xlnm.Print_Area" localSheetId="3">'10 pr'!$A$1:$H$150</definedName>
    <definedName name="_xlnm.Print_Area" localSheetId="4">'12 pr'!$A$1:$H$24</definedName>
    <definedName name="_xlnm.Print_Area" localSheetId="1">'3 pr'!$A$1:$H$310</definedName>
    <definedName name="_xlnm.Print_Area" localSheetId="2">'8 pr'!$A$1:$H$105</definedName>
    <definedName name="_xlnm.Print_Titles" localSheetId="0">'1 pr'!$7:$7</definedName>
    <definedName name="_xlnm.Print_Titles" localSheetId="3">'10 pr'!$11:$11</definedName>
    <definedName name="_xlnm.Print_Titles" localSheetId="4">'12 pr'!$11:$11</definedName>
    <definedName name="_xlnm.Print_Titles" localSheetId="1">'3 pr'!$11:$11</definedName>
    <definedName name="_xlnm.Print_Titles" localSheetId="2">'8 pr'!$12:$12</definedName>
  </definedNames>
  <calcPr calcId="152511"/>
  <fileRecoveryPr autoRecover="0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91" i="69" l="1"/>
  <c r="F90" i="69"/>
  <c r="C63" i="67"/>
  <c r="F55" i="66"/>
  <c r="H19" i="70"/>
  <c r="H18" i="70"/>
  <c r="E18" i="70" s="1"/>
  <c r="F169" i="66"/>
  <c r="F91" i="66"/>
  <c r="F90" i="66"/>
  <c r="F86" i="66"/>
  <c r="E86" i="66"/>
  <c r="F34" i="61"/>
  <c r="E34" i="61" s="1"/>
  <c r="F37" i="61"/>
  <c r="E37" i="61" s="1"/>
  <c r="F40" i="61"/>
  <c r="F36" i="61"/>
  <c r="E36" i="61" s="1"/>
  <c r="F42" i="61"/>
  <c r="E42" i="61" s="1"/>
  <c r="F33" i="61"/>
  <c r="E33" i="61" s="1"/>
  <c r="C24" i="67"/>
  <c r="G146" i="69"/>
  <c r="G145" i="69" s="1"/>
  <c r="H146" i="69"/>
  <c r="H145" i="69" s="1"/>
  <c r="H142" i="69" s="1"/>
  <c r="F146" i="69"/>
  <c r="F145" i="69" s="1"/>
  <c r="E145" i="69" s="1"/>
  <c r="E147" i="69"/>
  <c r="E19" i="70"/>
  <c r="H17" i="70"/>
  <c r="E17" i="70" s="1"/>
  <c r="G16" i="70"/>
  <c r="G15" i="70"/>
  <c r="F16" i="70"/>
  <c r="E14" i="70"/>
  <c r="H13" i="70"/>
  <c r="H12" i="70"/>
  <c r="G13" i="70"/>
  <c r="G12" i="70" s="1"/>
  <c r="G20" i="70" s="1"/>
  <c r="F13" i="70"/>
  <c r="E13" i="70" s="1"/>
  <c r="G127" i="69"/>
  <c r="G126" i="69"/>
  <c r="F127" i="69"/>
  <c r="E127" i="69" s="1"/>
  <c r="C74" i="67"/>
  <c r="G305" i="66"/>
  <c r="F305" i="66"/>
  <c r="E305" i="66" s="1"/>
  <c r="G260" i="66"/>
  <c r="F260" i="66"/>
  <c r="E260" i="66" s="1"/>
  <c r="G139" i="66"/>
  <c r="F139" i="66"/>
  <c r="E139" i="66"/>
  <c r="G113" i="66"/>
  <c r="F113" i="66"/>
  <c r="F277" i="66"/>
  <c r="E277" i="66"/>
  <c r="C9" i="67"/>
  <c r="F26" i="66"/>
  <c r="H26" i="66"/>
  <c r="F36" i="66"/>
  <c r="E36" i="66" s="1"/>
  <c r="F42" i="66"/>
  <c r="E42" i="66" s="1"/>
  <c r="F15" i="66"/>
  <c r="E15" i="66" s="1"/>
  <c r="C13" i="67"/>
  <c r="C10" i="67" s="1"/>
  <c r="G30" i="66"/>
  <c r="G299" i="66"/>
  <c r="F299" i="66"/>
  <c r="E299" i="66"/>
  <c r="H301" i="66"/>
  <c r="F301" i="66"/>
  <c r="E301" i="66" s="1"/>
  <c r="H297" i="66"/>
  <c r="G294" i="66"/>
  <c r="F294" i="66"/>
  <c r="E294" i="66"/>
  <c r="G290" i="66"/>
  <c r="F290" i="66"/>
  <c r="E290" i="66" s="1"/>
  <c r="G286" i="66"/>
  <c r="F286" i="66"/>
  <c r="E286" i="66" s="1"/>
  <c r="F253" i="66"/>
  <c r="E253" i="66" s="1"/>
  <c r="G257" i="66"/>
  <c r="F257" i="66"/>
  <c r="H259" i="66"/>
  <c r="F259" i="66"/>
  <c r="F256" i="66"/>
  <c r="E256" i="66" s="1"/>
  <c r="F255" i="66"/>
  <c r="E255" i="66" s="1"/>
  <c r="F254" i="66"/>
  <c r="E254" i="66" s="1"/>
  <c r="F251" i="66"/>
  <c r="E251" i="66" s="1"/>
  <c r="H252" i="66"/>
  <c r="F252" i="66"/>
  <c r="E252" i="66" s="1"/>
  <c r="G250" i="66"/>
  <c r="F250" i="66"/>
  <c r="E250" i="66" s="1"/>
  <c r="G136" i="66"/>
  <c r="F136" i="66"/>
  <c r="G131" i="66"/>
  <c r="F131" i="66"/>
  <c r="E131" i="66" s="1"/>
  <c r="G110" i="66"/>
  <c r="F110" i="66"/>
  <c r="E110" i="66"/>
  <c r="F109" i="66"/>
  <c r="E109" i="66"/>
  <c r="G107" i="66"/>
  <c r="F107" i="66"/>
  <c r="E107" i="66" s="1"/>
  <c r="H78" i="66"/>
  <c r="F78" i="66"/>
  <c r="G83" i="66"/>
  <c r="F83" i="66"/>
  <c r="E83" i="66" s="1"/>
  <c r="G82" i="66"/>
  <c r="F82" i="66"/>
  <c r="E82" i="66" s="1"/>
  <c r="G41" i="66"/>
  <c r="F41" i="66"/>
  <c r="E41" i="66"/>
  <c r="G42" i="66"/>
  <c r="G57" i="66"/>
  <c r="F57" i="66"/>
  <c r="E57" i="66"/>
  <c r="G84" i="66"/>
  <c r="F84" i="66"/>
  <c r="E84" i="66" s="1"/>
  <c r="G272" i="66"/>
  <c r="F272" i="66"/>
  <c r="E272" i="66" s="1"/>
  <c r="G274" i="66"/>
  <c r="F274" i="66"/>
  <c r="E274" i="66" s="1"/>
  <c r="G117" i="66"/>
  <c r="F117" i="66"/>
  <c r="E117" i="66"/>
  <c r="G86" i="66"/>
  <c r="G148" i="66"/>
  <c r="F148" i="66"/>
  <c r="G147" i="66"/>
  <c r="F147" i="66"/>
  <c r="E147" i="66" s="1"/>
  <c r="F146" i="66"/>
  <c r="E146" i="66" s="1"/>
  <c r="G145" i="66"/>
  <c r="F145" i="66"/>
  <c r="G141" i="66"/>
  <c r="F141" i="66"/>
  <c r="E141" i="66" s="1"/>
  <c r="G144" i="66"/>
  <c r="F144" i="66"/>
  <c r="E144" i="66" s="1"/>
  <c r="G143" i="66"/>
  <c r="F143" i="66"/>
  <c r="E143" i="66" s="1"/>
  <c r="H142" i="66"/>
  <c r="G142" i="66"/>
  <c r="F142" i="66"/>
  <c r="F81" i="66"/>
  <c r="E81" i="66"/>
  <c r="G115" i="66"/>
  <c r="F115" i="66"/>
  <c r="G35" i="66"/>
  <c r="F35" i="66"/>
  <c r="G39" i="66"/>
  <c r="F39" i="66"/>
  <c r="G40" i="66"/>
  <c r="F40" i="66"/>
  <c r="G37" i="66"/>
  <c r="F37" i="66"/>
  <c r="E37" i="66" s="1"/>
  <c r="G32" i="66"/>
  <c r="F32" i="66"/>
  <c r="E32" i="66" s="1"/>
  <c r="G34" i="66"/>
  <c r="F34" i="66"/>
  <c r="E34" i="66"/>
  <c r="G33" i="66"/>
  <c r="F33" i="66"/>
  <c r="G31" i="66"/>
  <c r="F31" i="66"/>
  <c r="E31" i="66" s="1"/>
  <c r="G29" i="66"/>
  <c r="F29" i="66"/>
  <c r="E29" i="66" s="1"/>
  <c r="F30" i="66"/>
  <c r="E30" i="66" s="1"/>
  <c r="G22" i="66"/>
  <c r="F22" i="66"/>
  <c r="E22" i="66" s="1"/>
  <c r="G26" i="66"/>
  <c r="G27" i="66"/>
  <c r="G28" i="66"/>
  <c r="F28" i="66"/>
  <c r="G25" i="66"/>
  <c r="F25" i="66"/>
  <c r="E25" i="66"/>
  <c r="G24" i="66"/>
  <c r="F24" i="66"/>
  <c r="E24" i="66" s="1"/>
  <c r="F27" i="66"/>
  <c r="E27" i="66" s="1"/>
  <c r="G21" i="66"/>
  <c r="F21" i="66"/>
  <c r="E21" i="66"/>
  <c r="H23" i="66"/>
  <c r="G23" i="66"/>
  <c r="F23" i="66"/>
  <c r="G19" i="66"/>
  <c r="F19" i="66"/>
  <c r="G16" i="66"/>
  <c r="F16" i="66"/>
  <c r="E16" i="66"/>
  <c r="G15" i="66"/>
  <c r="G20" i="66"/>
  <c r="F20" i="66"/>
  <c r="E20" i="66"/>
  <c r="G13" i="66"/>
  <c r="F13" i="66"/>
  <c r="E13" i="66" s="1"/>
  <c r="F18" i="66"/>
  <c r="E18" i="66" s="1"/>
  <c r="H17" i="66"/>
  <c r="F17" i="66"/>
  <c r="G14" i="66"/>
  <c r="F14" i="66"/>
  <c r="E14" i="66"/>
  <c r="H126" i="69"/>
  <c r="F248" i="66"/>
  <c r="E248" i="66" s="1"/>
  <c r="C88" i="67"/>
  <c r="C86" i="67" s="1"/>
  <c r="H148" i="66"/>
  <c r="E148" i="66" s="1"/>
  <c r="E150" i="66"/>
  <c r="H210" i="66"/>
  <c r="E210" i="66" s="1"/>
  <c r="C18" i="67"/>
  <c r="G191" i="66"/>
  <c r="C19" i="67"/>
  <c r="H180" i="66"/>
  <c r="E180" i="66" s="1"/>
  <c r="F218" i="66"/>
  <c r="E55" i="66"/>
  <c r="H49" i="66"/>
  <c r="E49" i="66" s="1"/>
  <c r="E224" i="66"/>
  <c r="C60" i="67"/>
  <c r="F133" i="69"/>
  <c r="F144" i="69"/>
  <c r="E144" i="69" s="1"/>
  <c r="C62" i="67"/>
  <c r="G83" i="61"/>
  <c r="G82" i="61" s="1"/>
  <c r="F83" i="61"/>
  <c r="F82" i="61" s="1"/>
  <c r="G31" i="61"/>
  <c r="F31" i="61"/>
  <c r="E31" i="61" s="1"/>
  <c r="E30" i="61" s="1"/>
  <c r="G34" i="61"/>
  <c r="E40" i="61"/>
  <c r="G43" i="61"/>
  <c r="F43" i="61"/>
  <c r="E43" i="61" s="1"/>
  <c r="G36" i="61"/>
  <c r="G38" i="61"/>
  <c r="F38" i="61"/>
  <c r="E38" i="61" s="1"/>
  <c r="G35" i="61"/>
  <c r="F35" i="61"/>
  <c r="E35" i="61" s="1"/>
  <c r="F41" i="61"/>
  <c r="E41" i="61" s="1"/>
  <c r="G39" i="61"/>
  <c r="F39" i="61"/>
  <c r="E39" i="61" s="1"/>
  <c r="F44" i="61"/>
  <c r="E44" i="61" s="1"/>
  <c r="H213" i="66"/>
  <c r="E213" i="66" s="1"/>
  <c r="F213" i="66"/>
  <c r="C27" i="67"/>
  <c r="C26" i="67"/>
  <c r="H188" i="66"/>
  <c r="E188" i="66" s="1"/>
  <c r="H130" i="69"/>
  <c r="H129" i="69" s="1"/>
  <c r="F130" i="69"/>
  <c r="F129" i="69" s="1"/>
  <c r="F128" i="69" s="1"/>
  <c r="H211" i="66"/>
  <c r="H197" i="66"/>
  <c r="E197" i="66" s="1"/>
  <c r="F195" i="66"/>
  <c r="G109" i="66"/>
  <c r="F88" i="66"/>
  <c r="E88" i="66" s="1"/>
  <c r="F249" i="66"/>
  <c r="E249" i="66" s="1"/>
  <c r="F87" i="66"/>
  <c r="E87" i="66"/>
  <c r="C85" i="67"/>
  <c r="C83" i="67"/>
  <c r="C84" i="67"/>
  <c r="G288" i="66"/>
  <c r="F104" i="66"/>
  <c r="E104" i="66" s="1"/>
  <c r="G130" i="66"/>
  <c r="F130" i="66"/>
  <c r="E130" i="66" s="1"/>
  <c r="G251" i="66"/>
  <c r="G104" i="66"/>
  <c r="F162" i="66"/>
  <c r="E162" i="66" s="1"/>
  <c r="G254" i="66"/>
  <c r="F234" i="66"/>
  <c r="E234" i="66" s="1"/>
  <c r="G138" i="66"/>
  <c r="F138" i="66"/>
  <c r="E138" i="66" s="1"/>
  <c r="G112" i="66"/>
  <c r="F112" i="66"/>
  <c r="E112" i="66" s="1"/>
  <c r="G259" i="66"/>
  <c r="G303" i="66"/>
  <c r="F303" i="66"/>
  <c r="E303" i="66" s="1"/>
  <c r="G295" i="66"/>
  <c r="F295" i="66"/>
  <c r="E295" i="66" s="1"/>
  <c r="F230" i="66"/>
  <c r="E230" i="66" s="1"/>
  <c r="G255" i="66"/>
  <c r="G108" i="66"/>
  <c r="F108" i="66"/>
  <c r="E108" i="66" s="1"/>
  <c r="G301" i="66"/>
  <c r="G258" i="66"/>
  <c r="F258" i="66"/>
  <c r="E258" i="66" s="1"/>
  <c r="G111" i="66"/>
  <c r="F111" i="66"/>
  <c r="E111" i="66" s="1"/>
  <c r="G298" i="66"/>
  <c r="G297" i="66" s="1"/>
  <c r="F298" i="66"/>
  <c r="E298" i="66" s="1"/>
  <c r="G256" i="66"/>
  <c r="F231" i="66"/>
  <c r="E231" i="66" s="1"/>
  <c r="G292" i="66"/>
  <c r="F292" i="66"/>
  <c r="E292" i="66"/>
  <c r="F228" i="66"/>
  <c r="E228" i="66" s="1"/>
  <c r="G253" i="66"/>
  <c r="G132" i="66"/>
  <c r="F132" i="66"/>
  <c r="E132" i="66" s="1"/>
  <c r="G106" i="66"/>
  <c r="F106" i="66"/>
  <c r="E106" i="66" s="1"/>
  <c r="E257" i="66"/>
  <c r="G252" i="66"/>
  <c r="F105" i="66"/>
  <c r="E105" i="66" s="1"/>
  <c r="G105" i="66"/>
  <c r="G69" i="61"/>
  <c r="G68" i="61" s="1"/>
  <c r="G42" i="69"/>
  <c r="H35" i="66"/>
  <c r="G38" i="66"/>
  <c r="G17" i="66"/>
  <c r="G41" i="69"/>
  <c r="G36" i="69" s="1"/>
  <c r="G18" i="66"/>
  <c r="G143" i="69"/>
  <c r="E141" i="69"/>
  <c r="H140" i="69"/>
  <c r="H139" i="69" s="1"/>
  <c r="E139" i="69" s="1"/>
  <c r="G140" i="69"/>
  <c r="G139" i="69" s="1"/>
  <c r="F140" i="69"/>
  <c r="F139" i="69" s="1"/>
  <c r="E138" i="69"/>
  <c r="H137" i="69"/>
  <c r="H136" i="69" s="1"/>
  <c r="G137" i="69"/>
  <c r="G136" i="69" s="1"/>
  <c r="F137" i="69"/>
  <c r="F136" i="69" s="1"/>
  <c r="E136" i="69" s="1"/>
  <c r="E135" i="69"/>
  <c r="H134" i="69"/>
  <c r="G134" i="69"/>
  <c r="F134" i="69"/>
  <c r="E133" i="69"/>
  <c r="H132" i="69"/>
  <c r="G132" i="69"/>
  <c r="G131" i="69"/>
  <c r="F132" i="69"/>
  <c r="E132" i="69" s="1"/>
  <c r="G129" i="69"/>
  <c r="G128" i="69" s="1"/>
  <c r="E125" i="69"/>
  <c r="H124" i="69"/>
  <c r="H123" i="69" s="1"/>
  <c r="G124" i="69"/>
  <c r="G123" i="69" s="1"/>
  <c r="F124" i="69"/>
  <c r="E122" i="69"/>
  <c r="E121" i="69"/>
  <c r="E120" i="69"/>
  <c r="E119" i="69"/>
  <c r="E118" i="69"/>
  <c r="E117" i="69"/>
  <c r="E116" i="69"/>
  <c r="E115" i="69"/>
  <c r="E114" i="69"/>
  <c r="E113" i="69"/>
  <c r="H112" i="69"/>
  <c r="G112" i="69"/>
  <c r="F112" i="69"/>
  <c r="E111" i="69"/>
  <c r="H110" i="69"/>
  <c r="G110" i="69"/>
  <c r="F110" i="69"/>
  <c r="E108" i="69"/>
  <c r="H107" i="69"/>
  <c r="G107" i="69"/>
  <c r="G106" i="69"/>
  <c r="G105" i="69" s="1"/>
  <c r="F107" i="69"/>
  <c r="F106" i="69" s="1"/>
  <c r="F105" i="69" s="1"/>
  <c r="E104" i="69"/>
  <c r="E103" i="69"/>
  <c r="E102" i="69"/>
  <c r="E101" i="69"/>
  <c r="E100" i="69"/>
  <c r="H99" i="69"/>
  <c r="G99" i="69"/>
  <c r="F99" i="69"/>
  <c r="G98" i="69"/>
  <c r="G97" i="69" s="1"/>
  <c r="F98" i="69"/>
  <c r="F97" i="69"/>
  <c r="E97" i="69" s="1"/>
  <c r="G96" i="69"/>
  <c r="F96" i="69"/>
  <c r="E96" i="69"/>
  <c r="G95" i="69"/>
  <c r="F95" i="69"/>
  <c r="E95" i="69" s="1"/>
  <c r="G94" i="69"/>
  <c r="F94" i="69"/>
  <c r="E94" i="69"/>
  <c r="H93" i="69"/>
  <c r="H90" i="69"/>
  <c r="H89" i="69"/>
  <c r="G90" i="69"/>
  <c r="G89" i="69" s="1"/>
  <c r="E88" i="69"/>
  <c r="H87" i="69"/>
  <c r="H86" i="69"/>
  <c r="G87" i="69"/>
  <c r="G86" i="69" s="1"/>
  <c r="F87" i="69"/>
  <c r="F86" i="69" s="1"/>
  <c r="E86" i="69" s="1"/>
  <c r="E85" i="69"/>
  <c r="E84" i="69"/>
  <c r="E83" i="69"/>
  <c r="E82" i="69"/>
  <c r="E81" i="69"/>
  <c r="E80" i="69"/>
  <c r="E79" i="69"/>
  <c r="E78" i="69"/>
  <c r="E77" i="69"/>
  <c r="E76" i="69"/>
  <c r="E75" i="69"/>
  <c r="E74" i="69"/>
  <c r="E73" i="69"/>
  <c r="E72" i="69"/>
  <c r="E71" i="69"/>
  <c r="E70" i="69"/>
  <c r="E69" i="69"/>
  <c r="H68" i="69"/>
  <c r="E68" i="69" s="1"/>
  <c r="G68" i="69"/>
  <c r="F68" i="69"/>
  <c r="E67" i="69"/>
  <c r="E66" i="69"/>
  <c r="H66" i="69"/>
  <c r="G66" i="69"/>
  <c r="F66" i="69"/>
  <c r="E65" i="69"/>
  <c r="E64" i="69"/>
  <c r="E63" i="69"/>
  <c r="E62" i="69"/>
  <c r="E61" i="69"/>
  <c r="E60" i="69"/>
  <c r="E59" i="69"/>
  <c r="E58" i="69"/>
  <c r="H57" i="69"/>
  <c r="E57" i="69" s="1"/>
  <c r="G57" i="69"/>
  <c r="F57" i="69"/>
  <c r="E56" i="69"/>
  <c r="E55" i="69"/>
  <c r="E54" i="69"/>
  <c r="E53" i="69"/>
  <c r="E52" i="69"/>
  <c r="E51" i="69"/>
  <c r="H50" i="69"/>
  <c r="G50" i="69"/>
  <c r="F50" i="69"/>
  <c r="E49" i="69"/>
  <c r="G48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H36" i="69"/>
  <c r="F36" i="69"/>
  <c r="E36" i="69" s="1"/>
  <c r="E35" i="69"/>
  <c r="G34" i="69"/>
  <c r="G16" i="69"/>
  <c r="F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H16" i="69"/>
  <c r="E15" i="69"/>
  <c r="F14" i="69"/>
  <c r="E14" i="69" s="1"/>
  <c r="H13" i="69"/>
  <c r="G13" i="69"/>
  <c r="C104" i="67"/>
  <c r="C103" i="67"/>
  <c r="C102" i="67"/>
  <c r="C96" i="67"/>
  <c r="C93" i="67"/>
  <c r="C81" i="67"/>
  <c r="C77" i="67"/>
  <c r="C67" i="67"/>
  <c r="C66" i="67"/>
  <c r="C65" i="67"/>
  <c r="C64" i="67"/>
  <c r="C57" i="67"/>
  <c r="C56" i="67"/>
  <c r="C48" i="67"/>
  <c r="C47" i="67"/>
  <c r="C46" i="67"/>
  <c r="C34" i="67"/>
  <c r="C25" i="67"/>
  <c r="C14" i="67"/>
  <c r="E306" i="66"/>
  <c r="E304" i="66"/>
  <c r="E302" i="66"/>
  <c r="E300" i="66"/>
  <c r="E296" i="66"/>
  <c r="E293" i="66"/>
  <c r="E291" i="66"/>
  <c r="E289" i="66"/>
  <c r="F288" i="66"/>
  <c r="E288" i="66"/>
  <c r="E287" i="66"/>
  <c r="F285" i="66"/>
  <c r="F283" i="66"/>
  <c r="E283" i="66"/>
  <c r="F282" i="66"/>
  <c r="E281" i="66"/>
  <c r="E280" i="66"/>
  <c r="E279" i="66"/>
  <c r="E278" i="66"/>
  <c r="E276" i="66"/>
  <c r="F275" i="66"/>
  <c r="E275" i="66"/>
  <c r="G273" i="66"/>
  <c r="H273" i="66"/>
  <c r="H270" i="66" s="1"/>
  <c r="E271" i="66"/>
  <c r="E269" i="66"/>
  <c r="E268" i="66"/>
  <c r="H267" i="66"/>
  <c r="H266" i="66" s="1"/>
  <c r="G267" i="66"/>
  <c r="G266" i="66" s="1"/>
  <c r="F267" i="66"/>
  <c r="F266" i="66" s="1"/>
  <c r="E265" i="66"/>
  <c r="E264" i="66"/>
  <c r="H263" i="66"/>
  <c r="H262" i="66"/>
  <c r="H261" i="66" s="1"/>
  <c r="G263" i="66"/>
  <c r="G262" i="66" s="1"/>
  <c r="G261" i="66" s="1"/>
  <c r="F263" i="66"/>
  <c r="E247" i="66"/>
  <c r="E246" i="66"/>
  <c r="E245" i="66"/>
  <c r="E244" i="66"/>
  <c r="F243" i="66"/>
  <c r="E243" i="66" s="1"/>
  <c r="E242" i="66"/>
  <c r="H241" i="66"/>
  <c r="H239" i="66"/>
  <c r="F241" i="66"/>
  <c r="F239" i="66"/>
  <c r="E240" i="66"/>
  <c r="G239" i="66"/>
  <c r="G237" i="66" s="1"/>
  <c r="E238" i="66"/>
  <c r="E235" i="66"/>
  <c r="E233" i="66"/>
  <c r="E232" i="66"/>
  <c r="E229" i="66"/>
  <c r="E227" i="66"/>
  <c r="E226" i="66"/>
  <c r="F225" i="66"/>
  <c r="E225" i="66" s="1"/>
  <c r="E223" i="66"/>
  <c r="E222" i="66"/>
  <c r="E221" i="66"/>
  <c r="H220" i="66"/>
  <c r="E220" i="66" s="1"/>
  <c r="E219" i="66"/>
  <c r="H218" i="66"/>
  <c r="E217" i="66"/>
  <c r="E216" i="66"/>
  <c r="E215" i="66"/>
  <c r="E214" i="66"/>
  <c r="F212" i="66"/>
  <c r="E212" i="66" s="1"/>
  <c r="E209" i="66"/>
  <c r="E208" i="66"/>
  <c r="E207" i="66"/>
  <c r="E206" i="66"/>
  <c r="E205" i="66"/>
  <c r="E204" i="66"/>
  <c r="E203" i="66"/>
  <c r="E202" i="66"/>
  <c r="E201" i="66"/>
  <c r="E200" i="66"/>
  <c r="E199" i="66"/>
  <c r="H198" i="66"/>
  <c r="E198" i="66" s="1"/>
  <c r="F196" i="66"/>
  <c r="E196" i="66" s="1"/>
  <c r="E194" i="66"/>
  <c r="E193" i="66"/>
  <c r="E192" i="66"/>
  <c r="G190" i="66"/>
  <c r="G189" i="66" s="1"/>
  <c r="H187" i="66"/>
  <c r="E187" i="66" s="1"/>
  <c r="H186" i="66"/>
  <c r="E186" i="66" s="1"/>
  <c r="F185" i="66"/>
  <c r="E185" i="66" s="1"/>
  <c r="F184" i="66"/>
  <c r="E184" i="66" s="1"/>
  <c r="E183" i="66"/>
  <c r="E182" i="66"/>
  <c r="H181" i="66"/>
  <c r="E179" i="66"/>
  <c r="E178" i="66"/>
  <c r="E177" i="66"/>
  <c r="E176" i="66"/>
  <c r="E175" i="66"/>
  <c r="F174" i="66"/>
  <c r="E174" i="66" s="1"/>
  <c r="F173" i="66"/>
  <c r="E173" i="66" s="1"/>
  <c r="H172" i="66"/>
  <c r="F172" i="66"/>
  <c r="F170" i="66" s="1"/>
  <c r="E171" i="66"/>
  <c r="G170" i="66"/>
  <c r="G166" i="66" s="1"/>
  <c r="G163" i="66" s="1"/>
  <c r="E169" i="66"/>
  <c r="F168" i="66"/>
  <c r="E168" i="66"/>
  <c r="E167" i="66"/>
  <c r="E165" i="66"/>
  <c r="F164" i="66"/>
  <c r="E164" i="66"/>
  <c r="G162" i="66"/>
  <c r="E161" i="66"/>
  <c r="E160" i="66"/>
  <c r="H159" i="66"/>
  <c r="E158" i="66"/>
  <c r="E157" i="66"/>
  <c r="F156" i="66"/>
  <c r="F155" i="66" s="1"/>
  <c r="G155" i="66"/>
  <c r="E154" i="66"/>
  <c r="F153" i="66"/>
  <c r="E153" i="66" s="1"/>
  <c r="G152" i="66"/>
  <c r="F152" i="66"/>
  <c r="F151" i="66" s="1"/>
  <c r="E149" i="66"/>
  <c r="G146" i="66"/>
  <c r="E145" i="66"/>
  <c r="G137" i="66"/>
  <c r="F137" i="66"/>
  <c r="E137" i="66" s="1"/>
  <c r="E136" i="66"/>
  <c r="E135" i="66"/>
  <c r="G134" i="66"/>
  <c r="F134" i="66"/>
  <c r="E134" i="66" s="1"/>
  <c r="G133" i="66"/>
  <c r="F133" i="66"/>
  <c r="E133" i="66"/>
  <c r="E129" i="66"/>
  <c r="F128" i="66"/>
  <c r="E128" i="66" s="1"/>
  <c r="H127" i="66"/>
  <c r="E127" i="66" s="1"/>
  <c r="F126" i="66"/>
  <c r="E126" i="66" s="1"/>
  <c r="G125" i="66"/>
  <c r="F124" i="66"/>
  <c r="E124" i="66" s="1"/>
  <c r="E123" i="66"/>
  <c r="E122" i="66"/>
  <c r="E121" i="66"/>
  <c r="E120" i="66"/>
  <c r="E119" i="66"/>
  <c r="H118" i="66"/>
  <c r="G118" i="66"/>
  <c r="F118" i="66"/>
  <c r="E118" i="66" s="1"/>
  <c r="E115" i="66"/>
  <c r="E113" i="66"/>
  <c r="G103" i="66"/>
  <c r="F103" i="66"/>
  <c r="E103" i="66" s="1"/>
  <c r="E102" i="66"/>
  <c r="E101" i="66"/>
  <c r="E100" i="66"/>
  <c r="F99" i="66"/>
  <c r="E98" i="66"/>
  <c r="H97" i="66"/>
  <c r="H85" i="66"/>
  <c r="H77" i="66" s="1"/>
  <c r="G97" i="66"/>
  <c r="G85" i="66"/>
  <c r="E96" i="66"/>
  <c r="F95" i="66"/>
  <c r="E95" i="66" s="1"/>
  <c r="E94" i="66"/>
  <c r="E93" i="66"/>
  <c r="F92" i="66"/>
  <c r="E92" i="66" s="1"/>
  <c r="E91" i="66"/>
  <c r="E90" i="66"/>
  <c r="F89" i="66"/>
  <c r="E89" i="66" s="1"/>
  <c r="G81" i="66"/>
  <c r="E80" i="66"/>
  <c r="E79" i="66"/>
  <c r="G78" i="66"/>
  <c r="E76" i="66"/>
  <c r="H75" i="66"/>
  <c r="H72" i="66"/>
  <c r="H58" i="66" s="1"/>
  <c r="H56" i="66" s="1"/>
  <c r="F75" i="66"/>
  <c r="E74" i="66"/>
  <c r="E73" i="66"/>
  <c r="G72" i="66"/>
  <c r="G58" i="66"/>
  <c r="G56" i="66" s="1"/>
  <c r="E71" i="66"/>
  <c r="E70" i="66"/>
  <c r="E69" i="66"/>
  <c r="E68" i="66"/>
  <c r="E67" i="66"/>
  <c r="E66" i="66"/>
  <c r="F65" i="66"/>
  <c r="E64" i="66"/>
  <c r="E63" i="66"/>
  <c r="E62" i="66"/>
  <c r="E61" i="66"/>
  <c r="E60" i="66"/>
  <c r="E59" i="66"/>
  <c r="E54" i="66"/>
  <c r="H53" i="66"/>
  <c r="F53" i="66"/>
  <c r="E52" i="66"/>
  <c r="E51" i="66"/>
  <c r="E50" i="66"/>
  <c r="G48" i="66"/>
  <c r="E47" i="66"/>
  <c r="E46" i="66"/>
  <c r="E45" i="66"/>
  <c r="G44" i="66"/>
  <c r="G43" i="66" s="1"/>
  <c r="F44" i="66"/>
  <c r="E40" i="66"/>
  <c r="E39" i="66"/>
  <c r="F38" i="66"/>
  <c r="E33" i="66"/>
  <c r="E28" i="66"/>
  <c r="E19" i="66"/>
  <c r="E103" i="61"/>
  <c r="H102" i="61"/>
  <c r="H67" i="61" s="1"/>
  <c r="G102" i="61"/>
  <c r="F102" i="61"/>
  <c r="E101" i="61"/>
  <c r="E100" i="61"/>
  <c r="E99" i="61"/>
  <c r="E98" i="61"/>
  <c r="E97" i="61"/>
  <c r="E96" i="61"/>
  <c r="E95" i="61"/>
  <c r="E94" i="61"/>
  <c r="E93" i="61"/>
  <c r="E92" i="61"/>
  <c r="E91" i="61"/>
  <c r="G90" i="61"/>
  <c r="F90" i="61"/>
  <c r="E89" i="61"/>
  <c r="E88" i="61" s="1"/>
  <c r="G88" i="61"/>
  <c r="F88" i="61"/>
  <c r="E87" i="61"/>
  <c r="E86" i="61" s="1"/>
  <c r="G86" i="61"/>
  <c r="F86" i="61"/>
  <c r="E85" i="61"/>
  <c r="E84" i="61" s="1"/>
  <c r="G84" i="61"/>
  <c r="F84" i="61"/>
  <c r="E81" i="61"/>
  <c r="E80" i="61" s="1"/>
  <c r="G80" i="61"/>
  <c r="F80" i="61"/>
  <c r="E79" i="61"/>
  <c r="E78" i="61" s="1"/>
  <c r="G78" i="61"/>
  <c r="F78" i="61"/>
  <c r="E77" i="61"/>
  <c r="E76" i="61" s="1"/>
  <c r="G76" i="61"/>
  <c r="F76" i="61"/>
  <c r="E75" i="61"/>
  <c r="E74" i="61" s="1"/>
  <c r="G74" i="61"/>
  <c r="F74" i="61"/>
  <c r="E73" i="61"/>
  <c r="E72" i="61" s="1"/>
  <c r="G72" i="61"/>
  <c r="F72" i="61"/>
  <c r="E71" i="61"/>
  <c r="E70" i="61" s="1"/>
  <c r="G70" i="61"/>
  <c r="F70" i="61"/>
  <c r="F69" i="61"/>
  <c r="F68" i="61" s="1"/>
  <c r="E66" i="61"/>
  <c r="H65" i="61"/>
  <c r="G65" i="61"/>
  <c r="F65" i="61"/>
  <c r="E64" i="61"/>
  <c r="E62" i="61" s="1"/>
  <c r="E63" i="61"/>
  <c r="H62" i="61"/>
  <c r="G62" i="61"/>
  <c r="F62" i="61"/>
  <c r="E61" i="61"/>
  <c r="E60" i="61"/>
  <c r="E59" i="61"/>
  <c r="E58" i="61"/>
  <c r="E57" i="61"/>
  <c r="E56" i="61"/>
  <c r="E55" i="61"/>
  <c r="E54" i="61"/>
  <c r="E53" i="61"/>
  <c r="E52" i="61"/>
  <c r="E51" i="61"/>
  <c r="G50" i="61"/>
  <c r="F50" i="61"/>
  <c r="E48" i="61"/>
  <c r="E47" i="61" s="1"/>
  <c r="G47" i="61"/>
  <c r="F47" i="61"/>
  <c r="F46" i="61"/>
  <c r="F45" i="61" s="1"/>
  <c r="G45" i="61"/>
  <c r="G30" i="61"/>
  <c r="E29" i="61"/>
  <c r="F28" i="61"/>
  <c r="E28" i="61" s="1"/>
  <c r="G27" i="61"/>
  <c r="F27" i="61"/>
  <c r="E27" i="61" s="1"/>
  <c r="G26" i="61"/>
  <c r="F26" i="61"/>
  <c r="E26" i="61" s="1"/>
  <c r="G25" i="61"/>
  <c r="F25" i="61"/>
  <c r="E25" i="61" s="1"/>
  <c r="G24" i="61"/>
  <c r="F24" i="61"/>
  <c r="E24" i="61" s="1"/>
  <c r="H23" i="61"/>
  <c r="H22" i="61" s="1"/>
  <c r="E21" i="61"/>
  <c r="E20" i="61" s="1"/>
  <c r="H20" i="61"/>
  <c r="G20" i="61"/>
  <c r="F20" i="61"/>
  <c r="E19" i="61"/>
  <c r="H18" i="61"/>
  <c r="G18" i="61"/>
  <c r="F18" i="61"/>
  <c r="E17" i="61"/>
  <c r="E16" i="61" s="1"/>
  <c r="G16" i="61"/>
  <c r="F16" i="61"/>
  <c r="E15" i="61"/>
  <c r="E14" i="61" s="1"/>
  <c r="G14" i="61"/>
  <c r="F14" i="61"/>
  <c r="E46" i="61"/>
  <c r="E45" i="61" s="1"/>
  <c r="F262" i="66"/>
  <c r="F261" i="66" s="1"/>
  <c r="E261" i="66" s="1"/>
  <c r="G151" i="66"/>
  <c r="F12" i="70"/>
  <c r="E12" i="70" s="1"/>
  <c r="F15" i="70"/>
  <c r="E110" i="69"/>
  <c r="H92" i="69"/>
  <c r="E98" i="69"/>
  <c r="H131" i="69"/>
  <c r="E137" i="69"/>
  <c r="F126" i="69"/>
  <c r="E126" i="69"/>
  <c r="E91" i="69"/>
  <c r="F48" i="66"/>
  <c r="G116" i="66"/>
  <c r="E26" i="66"/>
  <c r="E65" i="66"/>
  <c r="E263" i="66"/>
  <c r="E156" i="66"/>
  <c r="F297" i="66"/>
  <c r="E297" i="66"/>
  <c r="E259" i="66"/>
  <c r="H125" i="66"/>
  <c r="E241" i="66"/>
  <c r="E23" i="66"/>
  <c r="E17" i="66"/>
  <c r="E78" i="66"/>
  <c r="E142" i="66"/>
  <c r="C82" i="67"/>
  <c r="E146" i="69"/>
  <c r="E87" i="69"/>
  <c r="E130" i="69"/>
  <c r="H237" i="66"/>
  <c r="H236" i="66" s="1"/>
  <c r="G236" i="66"/>
  <c r="E152" i="66"/>
  <c r="E90" i="69"/>
  <c r="F89" i="69"/>
  <c r="E89" i="69" s="1"/>
  <c r="H49" i="61" l="1"/>
  <c r="F13" i="61"/>
  <c r="E65" i="61"/>
  <c r="G13" i="61"/>
  <c r="F30" i="61"/>
  <c r="G23" i="61"/>
  <c r="E102" i="61"/>
  <c r="E18" i="61"/>
  <c r="G32" i="61"/>
  <c r="H128" i="69"/>
  <c r="E128" i="69" s="1"/>
  <c r="E129" i="69"/>
  <c r="G270" i="66"/>
  <c r="F13" i="69"/>
  <c r="E13" i="69" s="1"/>
  <c r="E140" i="69"/>
  <c r="E50" i="61"/>
  <c r="G49" i="61"/>
  <c r="E172" i="66"/>
  <c r="G67" i="61"/>
  <c r="E35" i="66"/>
  <c r="E69" i="61"/>
  <c r="E68" i="61" s="1"/>
  <c r="H13" i="61"/>
  <c r="E13" i="61" s="1"/>
  <c r="H48" i="66"/>
  <c r="H43" i="66" s="1"/>
  <c r="H12" i="66" s="1"/>
  <c r="G77" i="66"/>
  <c r="E266" i="66"/>
  <c r="C76" i="67"/>
  <c r="C95" i="67"/>
  <c r="G93" i="69"/>
  <c r="G92" i="69" s="1"/>
  <c r="G142" i="69"/>
  <c r="G12" i="66"/>
  <c r="E218" i="66"/>
  <c r="C17" i="67"/>
  <c r="H16" i="70"/>
  <c r="E83" i="61"/>
  <c r="E82" i="61" s="1"/>
  <c r="F20" i="70"/>
  <c r="E267" i="66"/>
  <c r="F143" i="69"/>
  <c r="F142" i="69" s="1"/>
  <c r="E142" i="69" s="1"/>
  <c r="F23" i="61"/>
  <c r="F49" i="61"/>
  <c r="E49" i="61" s="1"/>
  <c r="H116" i="66"/>
  <c r="H114" i="66" s="1"/>
  <c r="C21" i="67"/>
  <c r="C20" i="67" s="1"/>
  <c r="C16" i="67" s="1"/>
  <c r="H12" i="69"/>
  <c r="E99" i="69"/>
  <c r="H109" i="69"/>
  <c r="E112" i="69"/>
  <c r="F32" i="61"/>
  <c r="G140" i="66"/>
  <c r="H106" i="69"/>
  <c r="E107" i="69"/>
  <c r="E53" i="66"/>
  <c r="G114" i="66"/>
  <c r="G307" i="66" s="1"/>
  <c r="E159" i="66"/>
  <c r="H155" i="66"/>
  <c r="C50" i="67"/>
  <c r="E34" i="69"/>
  <c r="F16" i="69"/>
  <c r="F191" i="66"/>
  <c r="E195" i="66"/>
  <c r="E38" i="66"/>
  <c r="F72" i="66"/>
  <c r="E75" i="66"/>
  <c r="E282" i="66"/>
  <c r="F166" i="66"/>
  <c r="F140" i="66"/>
  <c r="F125" i="66"/>
  <c r="F93" i="69"/>
  <c r="E48" i="66"/>
  <c r="E23" i="61"/>
  <c r="F67" i="61"/>
  <c r="E67" i="61" s="1"/>
  <c r="E90" i="61"/>
  <c r="E99" i="66"/>
  <c r="F97" i="66"/>
  <c r="G12" i="69"/>
  <c r="E50" i="69"/>
  <c r="C8" i="67"/>
  <c r="E44" i="66"/>
  <c r="F43" i="66"/>
  <c r="E43" i="66" s="1"/>
  <c r="E181" i="66"/>
  <c r="H170" i="66"/>
  <c r="H166" i="66" s="1"/>
  <c r="H163" i="66" s="1"/>
  <c r="F237" i="66"/>
  <c r="E239" i="66"/>
  <c r="E285" i="66"/>
  <c r="F284" i="66"/>
  <c r="E284" i="66" s="1"/>
  <c r="G109" i="69"/>
  <c r="F123" i="69"/>
  <c r="E124" i="69"/>
  <c r="E134" i="69"/>
  <c r="F131" i="69"/>
  <c r="E131" i="69" s="1"/>
  <c r="E211" i="66"/>
  <c r="H191" i="66"/>
  <c r="H190" i="66" s="1"/>
  <c r="H189" i="66" s="1"/>
  <c r="E32" i="61"/>
  <c r="E262" i="66"/>
  <c r="H104" i="61" l="1"/>
  <c r="G22" i="61"/>
  <c r="G104" i="61" s="1"/>
  <c r="F22" i="61"/>
  <c r="F104" i="61" s="1"/>
  <c r="E143" i="69"/>
  <c r="E16" i="70"/>
  <c r="H15" i="70"/>
  <c r="G148" i="69"/>
  <c r="F85" i="66"/>
  <c r="E97" i="66"/>
  <c r="F116" i="66"/>
  <c r="E125" i="66"/>
  <c r="E191" i="66"/>
  <c r="F190" i="66"/>
  <c r="H151" i="66"/>
  <c r="E155" i="66"/>
  <c r="E93" i="69"/>
  <c r="F92" i="69"/>
  <c r="E92" i="69" s="1"/>
  <c r="E170" i="66"/>
  <c r="E22" i="61"/>
  <c r="F273" i="66"/>
  <c r="E72" i="66"/>
  <c r="F58" i="66"/>
  <c r="E123" i="69"/>
  <c r="F109" i="69"/>
  <c r="E109" i="69" s="1"/>
  <c r="C92" i="67"/>
  <c r="C94" i="67" s="1"/>
  <c r="C106" i="67" s="1"/>
  <c r="F12" i="66"/>
  <c r="E237" i="66"/>
  <c r="F236" i="66"/>
  <c r="E236" i="66" s="1"/>
  <c r="F163" i="66"/>
  <c r="E163" i="66" s="1"/>
  <c r="E166" i="66"/>
  <c r="F12" i="69"/>
  <c r="E16" i="69"/>
  <c r="H105" i="69"/>
  <c r="E106" i="69"/>
  <c r="E104" i="61" l="1"/>
  <c r="H20" i="70"/>
  <c r="E20" i="70" s="1"/>
  <c r="E15" i="70"/>
  <c r="F270" i="66"/>
  <c r="E270" i="66" s="1"/>
  <c r="E273" i="66"/>
  <c r="E12" i="69"/>
  <c r="F148" i="69"/>
  <c r="E58" i="66"/>
  <c r="F56" i="66"/>
  <c r="E56" i="66" s="1"/>
  <c r="H140" i="66"/>
  <c r="E151" i="66"/>
  <c r="F77" i="66"/>
  <c r="E77" i="66" s="1"/>
  <c r="E85" i="66"/>
  <c r="E12" i="66"/>
  <c r="H148" i="69"/>
  <c r="E105" i="69"/>
  <c r="F189" i="66"/>
  <c r="E189" i="66" s="1"/>
  <c r="E190" i="66"/>
  <c r="E116" i="66"/>
  <c r="F114" i="66"/>
  <c r="E114" i="66" s="1"/>
  <c r="E148" i="69" l="1"/>
  <c r="H307" i="66"/>
  <c r="E140" i="66"/>
  <c r="F307" i="66"/>
  <c r="E307" i="66" s="1"/>
</calcChain>
</file>

<file path=xl/sharedStrings.xml><?xml version="1.0" encoding="utf-8"?>
<sst xmlns="http://purl.oclc.org/ooxml/spreadsheetml/main" count="1411" uniqueCount="823">
  <si>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</si>
  <si>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</si>
  <si>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</si>
  <si>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</si>
  <si>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</si>
  <si>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</si>
  <si>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</si>
  <si>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</si>
  <si>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</si>
  <si>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</si>
  <si>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</si>
  <si>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</si>
  <si>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</si>
  <si>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</si>
  <si>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</si>
  <si>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</si>
  <si>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</si>
  <si>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</si>
  <si>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Iš jų: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</si>
  <si>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</si>
  <si>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</si>
  <si>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</si>
  <si>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</si>
  <si>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</si>
  <si>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</si>
  <si>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</si>
  <si>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</si>
  <si>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</si>
  <si>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</si>
  <si>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</si>
  <si>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Programos Nr.</t>
  </si>
  <si>
    <t>turtui įsigyti</t>
  </si>
  <si>
    <t>iš viso</t>
  </si>
  <si>
    <t>iš jų darbo užmokesčiui</t>
  </si>
  <si>
    <t>4</t>
  </si>
  <si>
    <t>10.04.01.40</t>
  </si>
  <si>
    <t>09</t>
  </si>
  <si>
    <t xml:space="preserve"> ŽEMĖS ŪKIO PLĖTRA IR MELIORACIJA</t>
  </si>
  <si>
    <t>11.1</t>
  </si>
  <si>
    <t>11.2</t>
  </si>
  <si>
    <t>11.3</t>
  </si>
  <si>
    <t>11.4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</si>
  <si>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</si>
  <si>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</si>
  <si>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</si>
  <si>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</si>
  <si>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</si>
  <si>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</si>
  <si>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</si>
  <si>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</si>
  <si>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</si>
  <si>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</si>
  <si>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</si>
  <si>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</si>
  <si>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</si>
  <si>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</si>
  <si>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</si>
  <si>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</si>
  <si>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</si>
  <si>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Programos kodas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</si>
  <si>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</si>
  <si>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</si>
  <si>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</si>
  <si>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</si>
  <si>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</si>
  <si>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</si>
  <si>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</si>
  <si>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</si>
  <si>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</si>
  <si>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</si>
  <si>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</si>
  <si>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</si>
  <si>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</si>
  <si>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07.02.03.01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</si>
  <si>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</si>
  <si>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</si>
  <si>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</si>
  <si>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</si>
  <si>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</si>
  <si>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</si>
  <si>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</si>
  <si>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</si>
  <si>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</si>
  <si>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</si>
  <si>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</si>
  <si>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</si>
  <si>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</si>
  <si>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</si>
  <si>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</si>
  <si>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</si>
  <si>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</si>
  <si>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</si>
  <si>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</si>
  <si>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</si>
  <si>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</si>
  <si>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</si>
  <si>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</si>
  <si>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</si>
  <si>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</si>
  <si>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</si>
  <si>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</si>
  <si>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</si>
  <si>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</si>
  <si>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</si>
  <si>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</si>
  <si>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</si>
  <si>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</si>
  <si>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</si>
  <si>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</si>
  <si>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>3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</si>
  <si>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</si>
  <si>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</si>
  <si>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</si>
  <si>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</si>
  <si>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</si>
  <si>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 xml:space="preserve">                                                               ___________________________________________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</si>
  <si>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</si>
  <si>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</si>
  <si>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</si>
  <si>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</si>
  <si>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</si>
  <si>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</si>
  <si>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</si>
  <si>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</si>
  <si>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04.05.01.02</t>
  </si>
  <si>
    <t>Kėdainių rajono savivaldybės administracijos Šėtos   seniūnija</t>
  </si>
  <si>
    <t>Eil.   Nr.</t>
  </si>
  <si>
    <t>09.01.01.01
09.05.01.01</t>
  </si>
  <si>
    <t>09.02.02.01
09.05.01.01</t>
  </si>
  <si>
    <t>Kėdainių Juozo Paukštelio progimnazija</t>
  </si>
  <si>
    <t>01.06.01.04</t>
  </si>
  <si>
    <t xml:space="preserve">Atlikti turto inventorizavimą, teisinę registraciją, parengti  dokumentus turto privatizavimui 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</si>
  <si>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</si>
  <si>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</si>
  <si>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</si>
  <si>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</si>
  <si>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</si>
  <si>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Rengti specialiuosius, detaliuosius, geodezinius planus bei  topografines nuotraukas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</si>
  <si>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</si>
  <si>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</si>
  <si>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</si>
  <si>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</si>
  <si>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</si>
  <si>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</si>
  <si>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>04.01.02.09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</si>
  <si>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</si>
  <si>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</si>
  <si>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</si>
  <si>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</si>
  <si>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Truskavos pagrindinė mokykla</t>
  </si>
  <si>
    <t>Kėdainių r. Šėtos  gimnazija</t>
  </si>
  <si>
    <t>10.06.01.01 10.07.01.01
10.09.01.09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</si>
  <si>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</si>
  <si>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</si>
  <si>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Rekonstruoti ir plėsti Kėdainių miesto paviršinių nuotekų tinklus</t>
  </si>
  <si>
    <t xml:space="preserve">Dalyvauti energinio efektyvumo didinimo daugiabučiuose namuose programoje, kompensuojant Savivaldybei priklausančių būstų renovacijos išlaidas </t>
  </si>
  <si>
    <t>Įgyvendinti Kėdainių rajono savivaldybės bažnyčių rėmimo programą</t>
  </si>
  <si>
    <t>10.01.02.02
10.06.01.01
10.09.01.01 
10.09.01.09</t>
  </si>
  <si>
    <t>08.02.01.06
08.06.01.09</t>
  </si>
  <si>
    <t>08.04.01.02</t>
  </si>
  <si>
    <t xml:space="preserve">04.07.03.01. </t>
  </si>
  <si>
    <t>05.06.01.01</t>
  </si>
  <si>
    <t>05.02.01.01.</t>
  </si>
  <si>
    <t>Organizuoti nemokamą socialiai remtinų vaikų maitinimą ikimokyklinėse įstaigose</t>
  </si>
  <si>
    <t xml:space="preserve">Kompensuoti nemokamo mokinių maitinimo kainą bendrojo lavinimo mokyklose </t>
  </si>
  <si>
    <t xml:space="preserve">Dengti kainų skirtumą gyventojams už šildymą </t>
  </si>
  <si>
    <t xml:space="preserve">Kompensuoti kelionės išlaidas už lengvatinį keleivių vežimą </t>
  </si>
  <si>
    <t>Organizuoti socialinės reabilitacijos paslaugų neįgaliesiems bendruomenėje projektų konkursus</t>
  </si>
  <si>
    <t>Vykdyti savivaldybės viešųjų teritorijų tvarkymą</t>
  </si>
  <si>
    <t>Įgyvendinti priemones, finansuojamas iš Savivaldybės administracijos direktoriaus rezervo</t>
  </si>
  <si>
    <t>Įgyvendinti priemones, finansuojamas iš Savivaldybės mero fondo</t>
  </si>
  <si>
    <t xml:space="preserve">Sudaryti sąlygas bendruomeninių organizacijų veiklai </t>
  </si>
  <si>
    <t>Kėdainių r. Miegėnų pagrindinė mokykla</t>
  </si>
  <si>
    <t>Kėdainių pagalbos šeimai centras</t>
  </si>
  <si>
    <t>09.05.01.01  09.05.01.02 09.05.01.03</t>
  </si>
  <si>
    <t>Atnaujinti Lietuvos sporto universiteto Kėdainių  „Aušros“ progimnaziją, kuriant modernias ir saugias erdves</t>
  </si>
  <si>
    <t>Rekonstruoti/įrengti/modernizuoti Kėdainių rajono gatvių apšvietimą</t>
  </si>
  <si>
    <t>Atnaujinti Dotnuvos seniūnijos Akademijos miestelio visuomeninės paskirties pastatą, pritaikant jį kaimo bendruomenės poreikiams</t>
  </si>
  <si>
    <t xml:space="preserve">Užtikrinti socialinio būsto fondo plėtrą Kėdainiuose </t>
  </si>
  <si>
    <t xml:space="preserve">Įrengti pėsčiųjų ir dviračių takus Pramonės g. Kėdainių mieste  </t>
  </si>
  <si>
    <t>Kompleksiškai atnaujinti daugiabučių namų kvartalus (I etapas)</t>
  </si>
  <si>
    <t>Kompleksiškai atnaujinti daugiabučių namų kvartalus (II etapas)</t>
  </si>
  <si>
    <t>Atnaujinti ir plėsti komunalinių atliekų tvarkymo infrastruktūrą Kėdainių rajono savivaldybėje</t>
  </si>
  <si>
    <t>Sutvarkyti atvirais kasiniais pažeistas žemes Kėdainių rajone</t>
  </si>
  <si>
    <t>Remontuoti savivaldybės ir socialinį būstą</t>
  </si>
  <si>
    <t xml:space="preserve">08.02.01.07
</t>
  </si>
  <si>
    <t>06.03.01.01</t>
  </si>
  <si>
    <t>04-08</t>
  </si>
  <si>
    <t>Rekonstruoti ir plėsti vandentiekio ir buitinių nuotekų infrastruktūrą Šėtos miestelyje, Kunionių kaime bei Kėdainių mieste</t>
  </si>
  <si>
    <t>09.</t>
  </si>
  <si>
    <t>01-10</t>
  </si>
  <si>
    <t>Kompleksiškai sutvarkyti ir pritaikyti bendruomenei ir verslui Kėdainių miesto viešąsias erdves (Kėdainių miesto, Vytauto parko, universalaus daugiafunkcio aikštyno, lauko teniso kortų prieigas)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</si>
  <si>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</si>
  <si>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</si>
  <si>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</si>
  <si>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</si>
  <si>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</si>
  <si>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</si>
  <si>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</si>
  <si>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</si>
  <si>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</si>
  <si>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</si>
  <si>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Įgyvendinti projektą „Jonavos, Kėdainių ir Raseinių rajonų savivaldybes jungiančių trasų ir turizmo maršrutų informacinės infrastruktūros plėtra“</t>
  </si>
  <si>
    <t xml:space="preserve">Kompensuoti UAB "Kėdbusas“ nuostolingus maršrutus </t>
  </si>
  <si>
    <t>Tobulinti Kėdainių sporto centro infrastruktūrą (Parko g. 4, Vilainiai)</t>
  </si>
  <si>
    <t>56.1</t>
  </si>
  <si>
    <t>56.2</t>
  </si>
  <si>
    <t>56.3</t>
  </si>
  <si>
    <t>56.5</t>
  </si>
  <si>
    <t>Finansuoti inžinierines paslaugas, darbus ir įrengimus</t>
  </si>
  <si>
    <t>10  priedas</t>
  </si>
  <si>
    <t xml:space="preserve">Kėdainių rajono savivaldybės administracija iš viso: </t>
  </si>
  <si>
    <t>10.1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</si>
  <si>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</si>
  <si>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</si>
  <si>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</si>
  <si>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</si>
  <si>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</si>
  <si>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</si>
  <si>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</si>
  <si>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>Atnaujinti Kėdainių rajono teritorijos bendrąjį planą</t>
  </si>
  <si>
    <t>Atnaujinti Kėdainių miesto teritorijos bendrąjį planą</t>
  </si>
  <si>
    <t xml:space="preserve">Rekonstruoti/įrengti/modernizuoti Kėdainių miesto gatvių apšvietimą </t>
  </si>
  <si>
    <t>56.5.2</t>
  </si>
  <si>
    <t>Modernizuoti Kėdainių lopšelio-darželio „Vaikystė“ infrastruktūrą</t>
  </si>
  <si>
    <t>Modernizuoti Kėdainių lopšelio-darželio „Žilvitis“ infrastruktūrą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</si>
  <si>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</si>
  <si>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</si>
  <si>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15.1</t>
  </si>
  <si>
    <t>15.3</t>
  </si>
  <si>
    <t>15.4</t>
  </si>
  <si>
    <t>15.5</t>
  </si>
  <si>
    <t>4.1</t>
  </si>
  <si>
    <t>07.02.01.01</t>
  </si>
  <si>
    <t>10.06.01.40 06.01.01.01</t>
  </si>
  <si>
    <t>04.06.01.01</t>
  </si>
  <si>
    <t>Gerinti pirminės asmens sveikatos priežiūros paslaugų teikimo prieinamumą tuberkuliozės srityje</t>
  </si>
  <si>
    <t xml:space="preserve">iš jų: teikti integralią pagalbą į namus Kėdainių rajone </t>
  </si>
  <si>
    <t xml:space="preserve">Gerinti Kėdainių rajono savivaldybėje teikiamų paslaugų ir asmenų aptarnavimo kokybę  </t>
  </si>
  <si>
    <t>Kėdainių rajono savivaldybės administracija iš viso:</t>
  </si>
  <si>
    <t>Kompensuoti karšto ir šalto vandens pardavimo kainą socialiai remtiniems asmenims</t>
  </si>
  <si>
    <t>Finansuoti VšĮ Kėdainių turizmo ir verslo informacijos centro turizmo veiklos programą</t>
  </si>
  <si>
    <t xml:space="preserve">Įgyvendinti priemones, skirtas kovų už Lietuvos Nepriklausomybę vietoms ir paminklams įamžinti </t>
  </si>
  <si>
    <t>Kompleksiškai sutvarkyti Kėdainių Sinagogą (Smilgos g. 5A, Kėdainiai), pritaikant kultūrinėms bei kitoms reikmėms</t>
  </si>
  <si>
    <t>Atlikti paveldo objektams parengtų tvarkybos projektų ekspertizę, parengti sąmatas</t>
  </si>
  <si>
    <t>Apmokėti Europos Sąjungos projektų, kuriems taikomas apmokėjimas  kompensavimo būdu,  išlaidas</t>
  </si>
  <si>
    <t>Finansuoti Kėdainių miesto vietos veiklos grupės 2016–2022 m. vietos plėtros strategijos įgyvendinimą</t>
  </si>
  <si>
    <t>11.5</t>
  </si>
  <si>
    <t>15.7</t>
  </si>
  <si>
    <t>Mokesčiai už valstybinius gamtos išteklius</t>
  </si>
  <si>
    <t>Kėdainių r. Vilainių mokykla-darželis „Obelėlė“</t>
  </si>
  <si>
    <t>10.2</t>
  </si>
  <si>
    <t>Įgyvendinti  Kėdainių rajono savivaldybės mokytojų motyvacijos programą</t>
  </si>
  <si>
    <t>Koofinansuoti  švietimo įstaigų dalyvavimą infrastruktūros gerinimo/modernizavimo projektuose</t>
  </si>
  <si>
    <t xml:space="preserve">Vykdyti akušerinės pagalbos kokybės gerinimo Kėdainių rajono savivaldybės moterims 2020-2021 m. programą </t>
  </si>
  <si>
    <t>Finansuoti vaikų dienos centrų veiklos programas</t>
  </si>
  <si>
    <t>Pritaikyti viešąją aplinką specialiųjų poreikių turintiems gyventojams</t>
  </si>
  <si>
    <t>Finansuoti strateginių sporto šakų programas, iš jų:</t>
  </si>
  <si>
    <t>Finansuoti fizinio aktyvumo ir sporto veiklos projektus</t>
  </si>
  <si>
    <t>Atnaujinti Kėdainių  „Ryto“ progimnazijos stadioną ir sporto aikštyną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</si>
  <si>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</si>
  <si>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Atnaujinti Truskavos kultūros centrą, pritaikant jį kaimo bendruomenės poreikiams bei kultūrinei veiklai</t>
  </si>
  <si>
    <t>Įsigyti Kėdainių kultūros centro Labūnavos skyriaus pastatą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</si>
  <si>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</si>
  <si>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</si>
  <si>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</si>
  <si>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</si>
  <si>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>Mokėti palūkanas</t>
  </si>
  <si>
    <t xml:space="preserve">SPORTO VEIKLOS PLĖTRA </t>
  </si>
  <si>
    <t>15.6</t>
  </si>
  <si>
    <t>56.5.1</t>
  </si>
  <si>
    <t>05.02.01.01 
06.03.01.01</t>
  </si>
  <si>
    <t>05.02.01.01</t>
  </si>
  <si>
    <t>VšĮ „Sporto perspektyvos" veiklos programai</t>
  </si>
  <si>
    <t>Kėdainių bokso federacijos veiklos programai</t>
  </si>
  <si>
    <t>VšĮ „Sporto perspektyvos" vaikų ir jaunimo futbolo plėtros veiklos programai</t>
  </si>
  <si>
    <t>Dalyvauti Kauno regiono plėtros agentūros veikloje</t>
  </si>
  <si>
    <t>Vykdyti endoskopinių paslaugų prieinamumo ir kokybės gerinimo Kėdainių rajono savivaldybėje 2020-2025 m. programą</t>
  </si>
  <si>
    <t>15.8</t>
  </si>
  <si>
    <t>Rekonstruoti Kėdainių miesto nuotekų valyklą</t>
  </si>
  <si>
    <t>01.03.02.01</t>
  </si>
  <si>
    <t>Kėdainių r. Miegenų pagrindinė mokykla</t>
  </si>
  <si>
    <t>Kėdainių švietimo pagalbos tarnyba</t>
  </si>
  <si>
    <t>Kėdainių rajono savivaldybės visuomenės sveikatos biuras</t>
  </si>
  <si>
    <t xml:space="preserve">                                                                   _____________________________________                                                                                       </t>
  </si>
  <si>
    <t>išlaidoms</t>
  </si>
  <si>
    <t xml:space="preserve">09.02.01.01   </t>
  </si>
  <si>
    <t>07.04.01.02</t>
  </si>
  <si>
    <t>8 priedas</t>
  </si>
  <si>
    <t>Funkcinis kodas</t>
  </si>
  <si>
    <t>Valstybinėms (perduotoms savivaldybėms) funkcijoms</t>
  </si>
  <si>
    <t>02.1</t>
  </si>
  <si>
    <t>Mokinių visuomenės sveikatos priežiūrai</t>
  </si>
  <si>
    <t>02.2</t>
  </si>
  <si>
    <t>Visuomenės sveikatos stiprinimui ir stebėsenai</t>
  </si>
  <si>
    <t>02.3</t>
  </si>
  <si>
    <t>Visuomenės psichikos sveikatos gerinimui</t>
  </si>
  <si>
    <t>02.4</t>
  </si>
  <si>
    <t>Neveiksnių asmenų būklės peržiūrėjimui</t>
  </si>
  <si>
    <t>03.1</t>
  </si>
  <si>
    <t>Socialinėms paslaugoms:
Socialinei globai asmenims su sunkia negalia</t>
  </si>
  <si>
    <t xml:space="preserve"> iš jų: finansuoti dienos socialinės globos paslaugas Kėdainių socialinės globos namuose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</si>
  <si>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</si>
  <si>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</si>
  <si>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</si>
  <si>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</si>
  <si>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</si>
  <si>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</si>
  <si>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</si>
  <si>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</si>
  <si>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</si>
  <si>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</si>
  <si>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</si>
  <si>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</si>
  <si>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</si>
  <si>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iš jų: polderiams eksploatuoti</t>
  </si>
  <si>
    <t>04.02.01.01</t>
  </si>
  <si>
    <t>Tvarkyti erdvinių duomenų rinkinį</t>
  </si>
  <si>
    <t>04.02.01.02</t>
  </si>
  <si>
    <t>53</t>
  </si>
  <si>
    <t>Priešgaisrinių tarnybų organizavimas</t>
  </si>
  <si>
    <t>55</t>
  </si>
  <si>
    <t>56</t>
  </si>
  <si>
    <t>Gyventojų registro tvarkymas ir duomenų valstybės registrui teikimas</t>
  </si>
  <si>
    <t>01.03.03.02</t>
  </si>
  <si>
    <t>57</t>
  </si>
  <si>
    <t>58</t>
  </si>
  <si>
    <t>Archyvinių dokumentų tvarkymas</t>
  </si>
  <si>
    <t>59</t>
  </si>
  <si>
    <t>60</t>
  </si>
  <si>
    <t>Civilinės būklės aktų registravimas</t>
  </si>
  <si>
    <t>61</t>
  </si>
  <si>
    <t>62</t>
  </si>
  <si>
    <t>Civilinės saugos organizavimas</t>
  </si>
  <si>
    <t>02.02.01.01</t>
  </si>
  <si>
    <t>63</t>
  </si>
  <si>
    <t>64</t>
  </si>
  <si>
    <t>11.6</t>
  </si>
  <si>
    <t>Valstybinės kalbos vartojimo ir taisyklingumo kontrolė</t>
  </si>
  <si>
    <t>65</t>
  </si>
  <si>
    <t>66</t>
  </si>
  <si>
    <t>11.7</t>
  </si>
  <si>
    <t>Mobilizacijos administravimas</t>
  </si>
  <si>
    <t>02.01.01.04</t>
  </si>
  <si>
    <t>67</t>
  </si>
  <si>
    <t>68</t>
  </si>
  <si>
    <t>11.9</t>
  </si>
  <si>
    <t>Jaunimo teisių apsauga</t>
  </si>
  <si>
    <t>69</t>
  </si>
  <si>
    <t>70</t>
  </si>
  <si>
    <t>11.10</t>
  </si>
  <si>
    <t>Pirminė teisinė pagalba</t>
  </si>
  <si>
    <t>71</t>
  </si>
  <si>
    <t>72</t>
  </si>
  <si>
    <t>11.11</t>
  </si>
  <si>
    <t>Duomenų teikimas Valstybės suteiktos pagalbos registrui</t>
  </si>
  <si>
    <t>73</t>
  </si>
  <si>
    <t>74</t>
  </si>
  <si>
    <t>11.12</t>
  </si>
  <si>
    <t>Gyvenamosios vietos deklaravimas</t>
  </si>
  <si>
    <t>75</t>
  </si>
  <si>
    <t>76</t>
  </si>
  <si>
    <t>77</t>
  </si>
  <si>
    <t>11.13</t>
  </si>
  <si>
    <t>Užimtumo didinimo programos įgyvendinimas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</si>
  <si>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</si>
  <si>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</si>
  <si>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</si>
  <si>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</si>
  <si>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</si>
  <si>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</si>
  <si>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</si>
  <si>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</si>
  <si>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</si>
  <si>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</si>
  <si>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</si>
  <si>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 xml:space="preserve">                                                                                               ________________________________</t>
  </si>
  <si>
    <t>Vykdyti aplinkos apsaugos rėmimo specialiąją programą (pridedama 13 priedas)</t>
  </si>
  <si>
    <t>Vykdyti mamografijos paslaugų tęstinumo, kokybės gerinimo Kėdainių rajono savivaldybėje 2020-2025 m. programą</t>
  </si>
  <si>
    <t>Atlikti Kėdainių r. Šėtos mstl. Sodų g. kapitalinį remontą</t>
  </si>
  <si>
    <t>Atlikti Kėdainių r. Pelėdnagių k. Ateities g. kapitalinį remontą</t>
  </si>
  <si>
    <t>Atlikti Kėdainių r. Šlapaberžės k. Linksmosios g.  ir Kalnaberžės k. Vyšnių g. kapitalinį remontą</t>
  </si>
  <si>
    <t>Išlaidoms</t>
  </si>
  <si>
    <t>51</t>
  </si>
  <si>
    <t>54</t>
  </si>
  <si>
    <t>09.02.01.01
09.02.02.01</t>
  </si>
  <si>
    <t>Kėdainių švietimo pagalbos tarnyba iš viso:</t>
  </si>
  <si>
    <t xml:space="preserve"> 09.05.01.03</t>
  </si>
  <si>
    <t>Kita dotacija kultūros ir meno darbuotojų darbo užmokesčiui padidinti</t>
  </si>
  <si>
    <t>Kėdainių rajono savivaldybės 2021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</si>
  <si>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2021 METŲ VALSTYBĖS BIUDŽETO SPECIALIOS TIKSLINĖS DOTACIJOS SAVIVALDYBĖS BIUDŽETUI VALSTYBINĖMS (VALSTYBĖS PERDUOTOMS SAVIVALDYBEI) FUNKCIJOMS ATLIKTI ASIGNAVIMAI</t>
  </si>
  <si>
    <t>KĖDAINIŲ RAJONO SAVIVALDYBĖS 2021 METŲ BIUDŽETO ASIGNAVIMAI  SAVARANKIŠKOMS FUNKCIJOMS ATLIKTI</t>
  </si>
  <si>
    <t>Kėdainių rajono savivaldybės 2021 m. biudžeto asignavimai investicijų projektams ir remonto darbams finansuoti pagal objektus:</t>
  </si>
  <si>
    <t>iš jų: vykdyti socialinės paramos 2021 m. programą</t>
  </si>
  <si>
    <t xml:space="preserve">01.03.02.09
</t>
  </si>
  <si>
    <t xml:space="preserve">2021 METŲ VALSTYBĖS BIUDŽETO SPECIALIOS TIKSLINĖS DOTACIJOS SAVIVALDYBĖS BIUDŽETUI KITI ASIGNAVIMAI </t>
  </si>
  <si>
    <t>Vykdyti kompiuterinės tomografijos paslaugų kokybės gerinimo Kėdainių rajono savivaldybėje 2021-2028 m. programą</t>
  </si>
  <si>
    <t>Vykdyti E. sveikatos informacinės sistemos diegimo,  palaikymo ir tobulinimo VšĮ PSPC  ir VšĮ Kėdainių ligoninėje 2016–2021 m. programą</t>
  </si>
  <si>
    <t>Vykdyti VšĮ Kėdainių ligoninės dantų protezavimo  programą</t>
  </si>
  <si>
    <t>Vykdyti traumatologinės pagalbos kokybės gerinimo Kėdainių rajono savivaldybės gyventojams 2016–2021 m. programą</t>
  </si>
  <si>
    <t xml:space="preserve">Vykdyti Kėdainių rajono tuberkuliozės prevencijos, ankstyvosios diagnostikos, gydymo ir kontrolės 2017–2022 m. programą </t>
  </si>
  <si>
    <t>Vykdyti pirminės asmens sveikatos priežiūros paslaugų prieinamumo ir kokybės užtikrinimo Kėdainių rajono kaimiškųjų vietovių gyventojams 2017–2023 m. programą</t>
  </si>
  <si>
    <t xml:space="preserve">Finansuoti vaikų vasaros stovyklų ir kitų neformaliojo vaikų švietimo veiklų programas  </t>
  </si>
  <si>
    <t>Vykdyti Ultragarsinių diagnostinių paslaugų teikimo efektyvumo gerinimo Kėdainių rajono savivaldybėje 2017–2022 m. programą</t>
  </si>
  <si>
    <t>Finansuoti dienos socialinės globos paslaugų teikimą Kėdainių socialinės globos namuose</t>
  </si>
  <si>
    <t>Teikti vienkartinę išmoką gimus vaikui Lietuvos Respublikos teritorijoje ir gyvenančiam Kėdainių rajono savivaldybėje</t>
  </si>
  <si>
    <t>Užtikrinti paslaugų teikimą VšĮ "Gyvenimo namai sutrikusio intelekto asmenims"</t>
  </si>
  <si>
    <t xml:space="preserve">VšĮ "Veržlusis Nevėžis" veiklos programai </t>
  </si>
  <si>
    <t xml:space="preserve">Finansuoti Vaikų mokymo plaukti veiklos programą, dalyvaujant projekte „Mokėk plaukti ir saugiau elgtis vandenyje“ </t>
  </si>
  <si>
    <t xml:space="preserve">iš jų: dalyvauti projekte „Inovacijų keliu per buvusios LDK žemes“ </t>
  </si>
  <si>
    <t>Vystyti piligriminį/religinį turizmą</t>
  </si>
  <si>
    <t>Sudaryti saugias ugdymo sąlygas įstaigose, vykdančiose ugdymo programas</t>
  </si>
  <si>
    <t>Įrengti vėdinimo  ir kondicionavimo sistemas savivaldybės ugdymo įstaigose</t>
  </si>
  <si>
    <t>Plėtoti bendruomeninių vaikų globos namų ir vaikų dienos centrų tinklą Kėdainių rajono savivaldybėje</t>
  </si>
  <si>
    <t xml:space="preserve">Rekonstruoti Kėdainių miesto stadioną ir atsargines futbolo, aktyvaus poilsio aikštes bei mašinų stovėjimo aikštelę šalia stadiono 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</si>
  <si>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</si>
  <si>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</si>
  <si>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 xml:space="preserve">Remontuoti Akademijos kultūros centrą </t>
  </si>
  <si>
    <t xml:space="preserve">Parengti projektus ir remontuoti koplytėles, koplytstulpius, skulptūras, kapinaites  ir kapus   </t>
  </si>
  <si>
    <t>Atlikti Paberžės klebonijos ir svirno restauravimo ir remonto darbus</t>
  </si>
  <si>
    <t>Įrengti  valstybinės reikšmės kelių nuorodas į savivaldybės kultūros paveldo objektus</t>
  </si>
  <si>
    <t xml:space="preserve">Atlikti archeologinius ir kitus tyrinėjimus kultūros paveldo teritorijose </t>
  </si>
  <si>
    <t>Atlikti kultūros paveldo objektų ar objektų, esančių kultūros paveldo teritorijų prieigose tvarkybos darbus seniūnijose</t>
  </si>
  <si>
    <t>Vykdyti WiFi prieigų tinklo plėtrą miesto ir rajono viešosiose erdvėse</t>
  </si>
  <si>
    <t xml:space="preserve">Rengti nekilnojamųjų kultūros paveldo objektų, vietovių  individualius apsaugos reglamentus </t>
  </si>
  <si>
    <t>Parengti Nekilnojamųjų kultūros vertybių vertinimo medžiagą ir pristatyti nekilnojamojo kultūros paveldo vertinimo tarybai</t>
  </si>
  <si>
    <t>Parengti Akademijos parko tvarkybos ir techninius projektus ir atlikti darbus</t>
  </si>
  <si>
    <t>Įrengti elektromobilių įkrovimo prieigas Kėdainių mieste</t>
  </si>
  <si>
    <t>Parengti Kėdainių rajono atsinaujinančių energijos išteklių plėtros  planą</t>
  </si>
  <si>
    <t>Rekonstruoti Akademijos  nuotekų valyklą</t>
  </si>
  <si>
    <t xml:space="preserve">Plėsti vandentiekio ir buitinių nuotekų tinklus Kalnaberžės kaime </t>
  </si>
  <si>
    <t xml:space="preserve">Įrengti biologinius ar individualius  nuotekų valymo įrenginius </t>
  </si>
  <si>
    <t>Parengti buitinių nuotekų tinklų išplėtimo Pavermenio kaime techninį projektą ir atlikti darbus</t>
  </si>
  <si>
    <t>Įgyvendinti projektą "Kėdainių gatvių apšvietimo modernizavimas"</t>
  </si>
  <si>
    <t xml:space="preserve">Rekonstruoti šaligatvius, įgyvendinant projektą "Kėdainių miesto J.Basanavičiaus, Birutės, Dotnuvos ir  Šėtos gatvių rekonstrukcija" </t>
  </si>
  <si>
    <t xml:space="preserve">Įgyvendinti projektą "Kėdainių miesto A. Kanapinsko, P. Lukšio, Mindaugo, Pavasario ir Žemaitės gatvių rekonstrukcija"     </t>
  </si>
  <si>
    <t>Įgyvendinti visuomenės aplinkosauginio švietimo priemones</t>
  </si>
  <si>
    <t xml:space="preserve">Prižiūrėti ir tvarkyti viešąsias erdves, atnaujintas įgyvendinant ES projektus  </t>
  </si>
  <si>
    <t>Įrengti vandens transporto priemonių nuleidimo vietą Angirių tvenkinyje</t>
  </si>
  <si>
    <t>Kita dotacija savivaldybės viešajai bibliotekai dokumentams 2021 metais įsigyti</t>
  </si>
  <si>
    <t>32.1</t>
  </si>
  <si>
    <t>32.2</t>
  </si>
  <si>
    <t>32.3</t>
  </si>
  <si>
    <t>32.4</t>
  </si>
  <si>
    <t>32.5</t>
  </si>
  <si>
    <t>32.5.1</t>
  </si>
  <si>
    <t>32.5.2</t>
  </si>
  <si>
    <t>32.5.3</t>
  </si>
  <si>
    <t>32.5.4</t>
  </si>
  <si>
    <t>32.5.5</t>
  </si>
  <si>
    <t>32.5.6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</si>
  <si>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</si>
  <si>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</si>
  <si>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</si>
  <si>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</si>
  <si>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</si>
  <si>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</si>
  <si>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</si>
  <si>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</si>
  <si>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</si>
  <si>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</si>
  <si>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</si>
  <si>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</si>
  <si>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</si>
  <si>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</si>
  <si>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35.14.1</t>
  </si>
  <si>
    <t>35.14.2</t>
  </si>
  <si>
    <t>35.14.3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</si>
  <si>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</si>
  <si>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</si>
  <si>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</si>
  <si>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</si>
  <si>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</si>
  <si>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</si>
  <si>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</si>
  <si>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</si>
  <si>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</si>
  <si>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</si>
  <si>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</si>
  <si>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</si>
  <si>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42.12.1</t>
  </si>
  <si>
    <t>42.12.2</t>
  </si>
  <si>
    <t>42.12.3</t>
  </si>
  <si>
    <t>42.12.4</t>
  </si>
  <si>
    <t>42.12.5</t>
  </si>
  <si>
    <t>56.4</t>
  </si>
  <si>
    <t>56.5.3</t>
  </si>
  <si>
    <t>56.5.4</t>
  </si>
  <si>
    <t>76.1</t>
  </si>
  <si>
    <t>76.2</t>
  </si>
  <si>
    <t>76.3</t>
  </si>
  <si>
    <t>76.4</t>
  </si>
  <si>
    <t>76.4.1</t>
  </si>
  <si>
    <t>114.1</t>
  </si>
  <si>
    <t>114.2</t>
  </si>
  <si>
    <t>114.3</t>
  </si>
  <si>
    <t>13.1</t>
  </si>
  <si>
    <t>15.2</t>
  </si>
  <si>
    <t>2.1</t>
  </si>
  <si>
    <t>Kėdainių krašto muziejus iš viso:</t>
  </si>
  <si>
    <t>76.4.2</t>
  </si>
  <si>
    <t>76.4.3</t>
  </si>
  <si>
    <t>76.4.4</t>
  </si>
  <si>
    <t>76.4.5</t>
  </si>
  <si>
    <t>76.4.6</t>
  </si>
  <si>
    <t>80.1</t>
  </si>
  <si>
    <t>80.2</t>
  </si>
  <si>
    <t>80.3</t>
  </si>
  <si>
    <t>80.4</t>
  </si>
  <si>
    <t>80.4.1</t>
  </si>
  <si>
    <t>80.4.2</t>
  </si>
  <si>
    <t>80.4.3</t>
  </si>
  <si>
    <t>80.4.4</t>
  </si>
  <si>
    <t>80.4.5</t>
  </si>
  <si>
    <t>80.4.6</t>
  </si>
  <si>
    <t>80.4.7</t>
  </si>
  <si>
    <t>80.4.8</t>
  </si>
  <si>
    <t>80.4.9</t>
  </si>
  <si>
    <t>80.4.10</t>
  </si>
  <si>
    <t>80.4.11</t>
  </si>
  <si>
    <t>80.4.12</t>
  </si>
  <si>
    <t>80.4.13</t>
  </si>
  <si>
    <t>80.4.14</t>
  </si>
  <si>
    <t>80.4.15</t>
  </si>
  <si>
    <t>80.4.16</t>
  </si>
  <si>
    <t>80.4.17</t>
  </si>
  <si>
    <t>82.1</t>
  </si>
  <si>
    <t>82.1.1</t>
  </si>
  <si>
    <t>82.1.2</t>
  </si>
  <si>
    <t>82.1.3</t>
  </si>
  <si>
    <t>82.1.4</t>
  </si>
  <si>
    <t>82.1.5</t>
  </si>
  <si>
    <t>82.1.6</t>
  </si>
  <si>
    <t>82.1.7</t>
  </si>
  <si>
    <t>82.1.8</t>
  </si>
  <si>
    <t>82.1.9</t>
  </si>
  <si>
    <t>82.1.10</t>
  </si>
  <si>
    <t>82.1.11</t>
  </si>
  <si>
    <t>82.1.12</t>
  </si>
  <si>
    <t>82.1.13</t>
  </si>
  <si>
    <t>82.1.14</t>
  </si>
  <si>
    <t>82.1.15</t>
  </si>
  <si>
    <t>82.1.16</t>
  </si>
  <si>
    <t>82.1.17</t>
  </si>
  <si>
    <t>82.1.18</t>
  </si>
  <si>
    <t>82.1.19</t>
  </si>
  <si>
    <t>82.1.20</t>
  </si>
  <si>
    <t>82.1.21</t>
  </si>
  <si>
    <t>82.1.22</t>
  </si>
  <si>
    <t>82.1.23</t>
  </si>
  <si>
    <t>82.1.24</t>
  </si>
  <si>
    <t>82.1.25</t>
  </si>
  <si>
    <t>82.1.26</t>
  </si>
  <si>
    <t>82.1.27</t>
  </si>
  <si>
    <t>82.1.28</t>
  </si>
  <si>
    <t>82.1.29</t>
  </si>
  <si>
    <t>95.1</t>
  </si>
  <si>
    <t>95.2</t>
  </si>
  <si>
    <t>95.2.1</t>
  </si>
  <si>
    <t>95.2.2</t>
  </si>
  <si>
    <t>95.2.3</t>
  </si>
  <si>
    <t>95.2.4</t>
  </si>
  <si>
    <t>95.2.5</t>
  </si>
  <si>
    <t>95.2.6</t>
  </si>
  <si>
    <t>95.2.7</t>
  </si>
  <si>
    <t>95.3</t>
  </si>
  <si>
    <t>95.4</t>
  </si>
  <si>
    <t>95.5</t>
  </si>
  <si>
    <t>108.1</t>
  </si>
  <si>
    <t>108.1.1</t>
  </si>
  <si>
    <t>110.1</t>
  </si>
  <si>
    <t>110.2</t>
  </si>
  <si>
    <t>114.4</t>
  </si>
  <si>
    <t>114.5</t>
  </si>
  <si>
    <t>114.6</t>
  </si>
  <si>
    <t>114.7</t>
  </si>
  <si>
    <t>114.8</t>
  </si>
  <si>
    <t>114.9</t>
  </si>
  <si>
    <t>04.05.01.02.</t>
  </si>
  <si>
    <t>04.03.07.01</t>
  </si>
  <si>
    <t>06.03.01.01 05.02.01.01</t>
  </si>
  <si>
    <t>Grąžinti valstybės biudžeto lėšas (dotaciją)</t>
  </si>
  <si>
    <t>Kėdainių rajono savivaldybės administracija</t>
  </si>
  <si>
    <t xml:space="preserve"> 09.05.01.01</t>
  </si>
  <si>
    <t>iš jų: užimtumo didinimo programai įgyvendinti</t>
  </si>
  <si>
    <t>01.03.02.09
04.01.02.01</t>
  </si>
  <si>
    <t>01.1</t>
  </si>
  <si>
    <t>01.2</t>
  </si>
  <si>
    <t>01.3</t>
  </si>
  <si>
    <t xml:space="preserve"> Kita dotacija kompensuoti savivaldybės patirtas išlaidas, esant valstybės lygio ekstremaliajai situacijai, siekiant šalinti COVID-19 ligos (koronaviruso infekcijos) padarinius</t>
  </si>
  <si>
    <t>05.2</t>
  </si>
  <si>
    <t>05.1</t>
  </si>
  <si>
    <t>iš jų: modernizuoti Kėdainių krašto muziejaus Daugiakultūrio centrą</t>
  </si>
  <si>
    <t xml:space="preserve">Vykdyti rezistentų paminklinio akmens ir teritorijos apimančios masinę kapavietę sutvarkymo darbus (Skongalio g.) </t>
  </si>
  <si>
    <t>80.4.18</t>
  </si>
  <si>
    <t>Plėsti dviračių takų infrastruktūrą mieste ir rajone</t>
  </si>
  <si>
    <t>09.08.01.09</t>
  </si>
  <si>
    <t>07.1</t>
  </si>
  <si>
    <t>08.1</t>
  </si>
  <si>
    <t>Koordinuotai teikiamų paslaugų vaikams nuo gimimo iki 18 metų (turintiems didelių ir labai didelių specialiųjų ugdymosi poreikių − iki 21 metų) ir vaiko atstovams koordinavimas</t>
  </si>
  <si>
    <t>89</t>
  </si>
  <si>
    <t>11.14</t>
  </si>
  <si>
    <t>01.4</t>
  </si>
  <si>
    <t>Kita dotacija įrengti vandens transporto priemonių nuleidimo vietą Angirių tvenkinyje</t>
  </si>
  <si>
    <t>114.10</t>
  </si>
  <si>
    <t>01.08.01.02</t>
  </si>
  <si>
    <t>Kita dotacija neformaliajam vaikų švietimui</t>
  </si>
  <si>
    <t>Kita dotacija konsultacijoms mokiniams, patiriantiems mokymosi sunkumų</t>
  </si>
  <si>
    <t>Kita dotacija socialinių paslaugų šakos kolektyvinės sutarties įsipareigojimams igyvendinti</t>
  </si>
  <si>
    <t>Kita dotacija akredituotai vaikų dienos socialinei priežiūrai organizuoti</t>
  </si>
  <si>
    <t>Kita dotacija  naujoms mokytojų padėjėjų pareigybėms savivaldybėje  įsteigti</t>
  </si>
  <si>
    <t>23.1</t>
  </si>
  <si>
    <t>Kita dotacija kompensuoti patirtas išlaidas už skiepijimo nuo COVID-19 ligos (koronaviruso infekcijos) paslaugas</t>
  </si>
  <si>
    <t>Kita dotacija mokinių, pasirinkusių laikyti brandos egzaminus 2021 metais ir dėl COVID-19 pandemijos patyrusių mokymosi praradimų, tiesioginėms konsultacijoms</t>
  </si>
  <si>
    <t>Rekonstruoti Kėdainių šviesiosios gimnazijos pastatą Kėdainiuose, Didžioji g. 60</t>
  </si>
  <si>
    <t>01.5</t>
  </si>
  <si>
    <t>Kita dotacija valstybės investicijų 2021 m. programoje numatytoms kapitalo investicijoms</t>
  </si>
  <si>
    <t>Rekonstruoti Kėdainių rajono savivaldybės kultūros centro pastatą Kėdainiuose, J. Basanavičiaus g. 24</t>
  </si>
  <si>
    <t xml:space="preserve">Rekonstruoti Kėdainių miesto stadioną Kėdainiuose, J. Basanavičiaus g. 1 </t>
  </si>
  <si>
    <t>04.1</t>
  </si>
  <si>
    <t>05.3</t>
  </si>
  <si>
    <t xml:space="preserve">                                                 1 priedas</t>
  </si>
  <si>
    <t xml:space="preserve">          KĖDAINIŲ RAJONO SAVIVALDYBĖS 2021 METŲ BIUDŽETO PAJAMOS</t>
  </si>
  <si>
    <t xml:space="preserve">             Pajamų pavadinimas</t>
  </si>
  <si>
    <t>Suma (tūkst. Eur)</t>
  </si>
  <si>
    <t xml:space="preserve"> MOKESČIAI (2+3+7)</t>
  </si>
  <si>
    <t xml:space="preserve">Gyventojų pajamų mokestis </t>
  </si>
  <si>
    <t>Turto mokesčiai (4+5+6)</t>
  </si>
  <si>
    <t>Žemės mokestis</t>
  </si>
  <si>
    <t>Paveldimo turto mokestis</t>
  </si>
  <si>
    <t>Nekilnojamojo turto mokestis</t>
  </si>
  <si>
    <t>Prekių ir paslaugų mokesčiai (8)</t>
  </si>
  <si>
    <t>Mokestis už aplinkos teršimą</t>
  </si>
  <si>
    <t>DOTACIJOS (10+11+15)</t>
  </si>
  <si>
    <t>Dotacija savivaldybėms iš Europos Sąjungos, kitos tarptautinės finansinės paramos ir bendrojo finansavimo lėšų (10.1+10.2 )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</si>
  <si>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</si>
  <si>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</si>
  <si>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>Speciali tikslinė dotacija (12+13+14), iš jos:</t>
  </si>
  <si>
    <t>Valstybinėms (perduotoms savivaldybėms) funkcijoms atlikti, iš jų:</t>
  </si>
  <si>
    <t>12.1</t>
  </si>
  <si>
    <t xml:space="preserve">     dalyvauti rengiant ir vykdant mobilizaciją</t>
  </si>
  <si>
    <t>12.2</t>
  </si>
  <si>
    <t xml:space="preserve">     valstybinės kalbos vartojimo ir taisyklingumo kontrolei</t>
  </si>
  <si>
    <t>12.3</t>
  </si>
  <si>
    <t xml:space="preserve">     socialinėms išmokoms ir kompensacijoms skaičiuoti ir mokėti </t>
  </si>
  <si>
    <t>12.4</t>
  </si>
  <si>
    <t xml:space="preserve">     socialinei paramai mokiniams </t>
  </si>
  <si>
    <t>12.5</t>
  </si>
  <si>
    <t xml:space="preserve">     socialinėms paslaugoms</t>
  </si>
  <si>
    <t>12.6</t>
  </si>
  <si>
    <t xml:space="preserve">     jaunimo teisių apsaugai</t>
  </si>
  <si>
    <t>12.7</t>
  </si>
  <si>
    <t xml:space="preserve">     būsto nuomos ar išperkamosios būsto nuomos mokesčių dalies kompensacijoms</t>
  </si>
  <si>
    <t>12.8</t>
  </si>
  <si>
    <t xml:space="preserve">     užimtumo didinimo programai įgyvendinti</t>
  </si>
  <si>
    <t>12.9</t>
  </si>
  <si>
    <t xml:space="preserve">     civilinės būklės aktams registruoti</t>
  </si>
  <si>
    <t>12.10</t>
  </si>
  <si>
    <t xml:space="preserve">     valstybės garantuojamai pirminei teisinei pagalbai teikti</t>
  </si>
  <si>
    <t>12.11</t>
  </si>
  <si>
    <t xml:space="preserve">     gyventojų registrui tvarkyti ir duomenims valstybės registrams teikti</t>
  </si>
  <si>
    <t>12.12</t>
  </si>
  <si>
    <t xml:space="preserve">     civilinei saugai</t>
  </si>
  <si>
    <t>12.13</t>
  </si>
  <si>
    <t xml:space="preserve">     priešgaisrinei saugai</t>
  </si>
  <si>
    <t>12.14</t>
  </si>
  <si>
    <t xml:space="preserve">     gyvenamosios vietos deklaravimo duomenų ir gyvenamosios vietos neturinčių asmenų apskaitos duomenims tvarkyti</t>
  </si>
  <si>
    <t>12.15</t>
  </si>
  <si>
    <t xml:space="preserve">     žemės ūkio funkcijoms atlikti</t>
  </si>
  <si>
    <t>12.16</t>
  </si>
  <si>
    <t xml:space="preserve">     melioracijai</t>
  </si>
  <si>
    <t>12.17</t>
  </si>
  <si>
    <t xml:space="preserve">     erdvinių duomenų rinkinio tvarkymui</t>
  </si>
  <si>
    <t>12.18</t>
  </si>
  <si>
    <t xml:space="preserve">     savivaldybėms priskirtiems archyviniems dokumentams tvarkyti</t>
  </si>
  <si>
    <t>12.19</t>
  </si>
  <si>
    <t xml:space="preserve">     duomenų teikimas Valstybės suteiktos pagalbos registrui</t>
  </si>
  <si>
    <t>12.20</t>
  </si>
  <si>
    <t xml:space="preserve">     mokinių visuomenės sveikatos priežiūrai</t>
  </si>
  <si>
    <t>12.21</t>
  </si>
  <si>
    <t xml:space="preserve">     visuomenės sveikatos stiprinimui ir stebėsenai</t>
  </si>
  <si>
    <t>12.22</t>
  </si>
  <si>
    <t xml:space="preserve">     neveiksnių asmenų būklės peržiūrėjimui</t>
  </si>
  <si>
    <t>12.23</t>
  </si>
  <si>
    <t xml:space="preserve">     savižudžių prevencijos priemonių įgyvendinimui</t>
  </si>
  <si>
    <t>12.24</t>
  </si>
  <si>
    <t xml:space="preserve">     koordinuotai teikiamų paslaugų vaikams nuo gimimo iki 18 metų (turintiems didelių ir labai didelių specialiųjų ugdymosi poreikių − iki 21 metų) ir vaiko atstovams koordinuoti</t>
  </si>
  <si>
    <t>Ugdymo reikmėms finansuoti, iš jų</t>
  </si>
  <si>
    <t xml:space="preserve">      skaitmeninio ugdymo plėtrai</t>
  </si>
  <si>
    <t>Kita tikslinė dotacija, iš jos:</t>
  </si>
  <si>
    <t>14.1</t>
  </si>
  <si>
    <t xml:space="preserve">     mokyklos specialiųjų ugdymosi poreikių turintiems mokiniams</t>
  </si>
  <si>
    <t>Kitos dotacijos, iš jų:</t>
  </si>
  <si>
    <t xml:space="preserve">      infrastruktūros projektų nuosavam indėliui užtikrinti</t>
  </si>
  <si>
    <t xml:space="preserve">      valstybės biudžeto lėšos, skirtos neformaliajam vaikų švietimui </t>
  </si>
  <si>
    <t xml:space="preserve">      valstybės biudžeto lėšos, skirtos konsultacijoms mokiniams, patiriantiems mokymosi sunkumų</t>
  </si>
  <si>
    <t xml:space="preserve">      valstybės biudžeto lėšos, skirtos įsteigti naujas mokytojų padėjėjų pareigybes savivaldybėje</t>
  </si>
  <si>
    <t xml:space="preserve">     valstybės biudžeto lėšos mokinių, pasirinkusių laikyti brandos egzaminus 2021 metais ir dėl COVID-19 pandemijos patyrusių mokymosi praradimų, tiesioginėms konsultacijoms</t>
  </si>
  <si>
    <t xml:space="preserve">      valstybės biudžeto lėšos, skirtos socialinių paslaugų šakos kolektyvinės sutarties įsipareigojimams igyvendinti</t>
  </si>
  <si>
    <t xml:space="preserve">      valstybės biudžeto lėšos, skirtos akredituotai vaikų dienos socialinei priežiūrai organizuoti</t>
  </si>
  <si>
    <t xml:space="preserve">      savivaldybės viešajai bibliotekai dokumentams 2021 metais įsigyti</t>
  </si>
  <si>
    <t>15.9</t>
  </si>
  <si>
    <t xml:space="preserve">      savivaldybės kultūros ir meno darbuotojų darbo užmokesčiui padidinti</t>
  </si>
  <si>
    <t>15.10</t>
  </si>
  <si>
    <t xml:space="preserve">      „Sosnovskio barščio naikinimas Kėdainių rajone“</t>
  </si>
  <si>
    <t>15.11</t>
  </si>
  <si>
    <t xml:space="preserve">      įrengti vandens transporto priemonių nuleidimo vietą Angirių tvenkinyje</t>
  </si>
  <si>
    <t>15.12</t>
  </si>
  <si>
    <t xml:space="preserve">      kompensuoti savivaldybės patirtas išlaidas, esant valstybės lygio ekstremaliajai situacijai, siekiant šalinti COVID-19 ligos (koronaviruso infekcijos) padarinius</t>
  </si>
  <si>
    <t>15.13</t>
  </si>
  <si>
    <t>15.14</t>
  </si>
  <si>
    <t xml:space="preserve">      savivaldybės institucijos valdomiems vietinės reikšmės keliams</t>
  </si>
  <si>
    <t>15.15</t>
  </si>
  <si>
    <t xml:space="preserve">      valstybės investicijų 2021 m. programoje numatytoms kapitalo investicijoms</t>
  </si>
  <si>
    <t>KITOS PAJAMOS (17+22+26+29+30+31)</t>
  </si>
  <si>
    <t>Turto pajamos (18+19+20+21)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</si>
  <si>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</si>
  <si>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</si>
  <si>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</si>
  <si>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 (23+24+25)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</si>
  <si>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</si>
  <si>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</si>
  <si>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</si>
  <si>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Rinkliavos (27+28 )</t>
  </si>
  <si>
    <t>Valstybės rinkliava</t>
  </si>
  <si>
    <t>Vietinė rinkliava</t>
  </si>
  <si>
    <t>Pajamos iš baudų ir konfiskacijos</t>
  </si>
  <si>
    <t>Kitos neišvardytos pajamos</t>
  </si>
  <si>
    <t>Materialiojo ir nematerialiojo turto realizavimo pajamos</t>
  </si>
  <si>
    <t xml:space="preserve">                                       IŠ VISO PAJAMŲ IR DOTACIJŲ (1+9+16)</t>
  </si>
  <si>
    <t>FINANSINIŲ ĮSIPAREIGOJIMŲ PRISIĖMIMO (SKOLINIMOSI) PAJAMOS</t>
  </si>
  <si>
    <t>IŠ VISO (32+33)</t>
  </si>
  <si>
    <t>2020 METŲ NEPANAUDOTOS BIUDŽETO PAJAMOS, IŠ JŲ: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</si>
  <si>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</si>
  <si>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</si>
  <si>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</si>
  <si>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</si>
  <si>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</si>
  <si>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</si>
  <si>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</si>
  <si>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</si>
  <si>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 xml:space="preserve">     infrastruktūros projektų nuosavam indėliui užtikrinti</t>
  </si>
  <si>
    <t>IŠ VISO (34+35)</t>
  </si>
  <si>
    <t>Įrengti medicinos punktą Langakių kaime</t>
  </si>
  <si>
    <t>35.14.4</t>
  </si>
  <si>
    <t>Pritaikyti A. Budrio g. specialiųjų poreikių turintiems gyventojams</t>
  </si>
  <si>
    <t>108.1.2</t>
  </si>
  <si>
    <t>Įgyvendinti projektą "Asociacijos "Laputis" nariams priklausančių ir valstybinių melioracijos statinių rekonstravimas "</t>
  </si>
  <si>
    <t>Kita dotacija išlaidoms, susijusioms su pedagoginių darbuotojų skaičiaus optimizavimu</t>
  </si>
  <si>
    <t xml:space="preserve">         valstybės biudžeto lėšos, skirtos  išlaidoms susijusioms su pedagoginių darbuotojų skaičiaus optimizavimu</t>
  </si>
  <si>
    <t>15.16</t>
  </si>
  <si>
    <t xml:space="preserve">      kompensuoti paskolas</t>
  </si>
  <si>
    <t>15.17</t>
  </si>
  <si>
    <t>15.18</t>
  </si>
  <si>
    <t xml:space="preserve">      kompensuoti savivaldybės gyventojų asbesto turinčių gaminių atliekų surinkimo išlaidas</t>
  </si>
  <si>
    <t xml:space="preserve">Grąžinti suteiktą valstybės biudžeto trumpalaikę paskolą </t>
  </si>
  <si>
    <t>Grąžinti  banko suteiktą ilgalaikę paskolą</t>
  </si>
  <si>
    <t>114.11</t>
  </si>
  <si>
    <t>114.11.1</t>
  </si>
  <si>
    <t>01.6</t>
  </si>
  <si>
    <t>Įrengti, rekonstruoti, išplėsti vandentiekio ir/ar nuotekų tinklus Kėdainių mieste (Algirdo g., Parakinės g., Rūtų g., Pievų g., Šviesos g. J. Biliūno g.)</t>
  </si>
  <si>
    <t>15.19</t>
  </si>
  <si>
    <t>Kita dotacija  savivaldybės institucijos valdomiems vietinės reikšmės keliams</t>
  </si>
  <si>
    <t>32.5.7</t>
  </si>
  <si>
    <t>44.1</t>
  </si>
  <si>
    <t>15.20</t>
  </si>
  <si>
    <t xml:space="preserve">     stumbrų daromos žalos apskaičiavimui, naudojant pažangius dirbtinio intelekto pagrindu sukurtus algoritmus ir palydovinių vaizdų informaciją</t>
  </si>
  <si>
    <t>Kita dotacija  stumbrų daromos žalos apskaičiavimui, naudojant pažangius dirbtinio intelekto pagrindu sukurtus algoritmus ir palydovinių vaizdų informaciją</t>
  </si>
  <si>
    <t>04.02.04.01</t>
  </si>
  <si>
    <t xml:space="preserve">      valstybės biudžeto lėšos, skirtos savivaldybės socialinių paslaugų srities darbuotojų minimaliems pareiginės algos pastoviosios dalies koeficientams ir socialinių darbuotojų pareiginės algos pastoviajai daliai didinti</t>
  </si>
  <si>
    <t>Kita dotacija savivaldybės socialinių paslaugų srities darbuotojų minimaliems pareiginės algos pastoviosios dalies koeficientams ir socialinių darbuotojų pareiginės algos pastoviajai daliai didinti</t>
  </si>
  <si>
    <t>15.21</t>
  </si>
  <si>
    <t>82.1.30</t>
  </si>
  <si>
    <t>82.1.31</t>
  </si>
  <si>
    <t>82.1.32</t>
  </si>
  <si>
    <t xml:space="preserve">Parengti vandentiekio ir nuotekų tinklų išplėtimo Surviliškio k. statybos projektą </t>
  </si>
  <si>
    <t xml:space="preserve">Parengti vandentiekio ir nuotekų tinklų įrengimo Nevėžio ir Vainikų g. Labūnavos k. statybos projektą </t>
  </si>
  <si>
    <t xml:space="preserve">Parengti vandentiekio ir nuotekų tinklų įrengimo Langakių k. statybos projektą   </t>
  </si>
  <si>
    <t xml:space="preserve">     valstybės biudžeto lėšos, skirtos investicinių žemės sklypų, iki kurių ribos ir (ar) kurių ribose įrengiama ir (ar) sutvarkoma infrastruktūra, projektams</t>
  </si>
  <si>
    <t>Kita dotacija investicinių žemės sklypų, iki kurių ribos ir (ar) kurių ribose įrengiama ir (ar) sutvarkoma infrastruktūra, projektui "Kėdainių miesto viešosios infrastruktūros, svarbios verslui, atnaujinimas ir plėtra" įgyvendinti</t>
  </si>
  <si>
    <t>15.22</t>
  </si>
  <si>
    <t>01.7</t>
  </si>
  <si>
    <t>15.23</t>
  </si>
  <si>
    <t xml:space="preserve"> valstybės biudžeto lėšos, skirtos konsultacijoms mokiniams, mokymosi praradimams kompensuoti</t>
  </si>
  <si>
    <t>Kita dotacija išlaidoms, skirtoms konsultacijoms mokiniams, mokymosi praradimams kompensuoti</t>
  </si>
  <si>
    <t>01.8</t>
  </si>
  <si>
    <t>09.02.01.01
09.02.02.01 
09.05.01.01
09.05.01.02</t>
  </si>
  <si>
    <t xml:space="preserve">  valstybės biudžeto lėšos, skirtos užtikrinti 2021 m. ugdymo, maitinimo ir pavėžėjimo lėšas socialinę riziką patiriantiems vaikams ikimokykliniame ugdyme</t>
  </si>
  <si>
    <t>Kita dotacija išlaidoms, susijusioms su ugdymu, maitinimu ir pavėžėjimu socialinę riziką patiriantiems vaikams ikimokykliniame ugdyme</t>
  </si>
  <si>
    <t>Parengti viešųjų pastatų, esančių Josvainių g. 53 ir Pavasario g. 8, Kėdainiuose, energinio efektyvumo didinimo investicijų projektus, rengiamus pastato energijos vartojimo audito pagrindu, ir techninius projektus</t>
  </si>
  <si>
    <t>Kita dotacija „Sosnovskio barsčio naikinimas Kėdainių rajone“</t>
  </si>
  <si>
    <t>10.09.01.01</t>
  </si>
  <si>
    <t>iš jų: Dalyvauti akcijoje "Kėdainiams reikia vargonų"</t>
  </si>
  <si>
    <t>15.24</t>
  </si>
  <si>
    <t>Kita dotacija nevyriausybinių organizacijų ir bendruomeninės veiklos stiprinimui</t>
  </si>
  <si>
    <t xml:space="preserve">    valstybės biudžeto lėšos, skirtos nevyriausybinių organizacijų ir bendruomeninės veiklos stiprinimui</t>
  </si>
  <si>
    <t>82.1.33</t>
  </si>
  <si>
    <t>90</t>
  </si>
  <si>
    <t xml:space="preserve"> VšĮ „Pažinimo taku“</t>
  </si>
  <si>
    <t>Kėdainių „Spindulio“ mokykla</t>
  </si>
  <si>
    <t>04.01.01.06</t>
  </si>
  <si>
    <t xml:space="preserve">      kompensuoti asmens sveikatos priežiūros įstaigų patirtas išlaidas susijusias su COVID-19 liga (koronaviruso infekcija) </t>
  </si>
  <si>
    <t>12 priedas</t>
  </si>
  <si>
    <t>KĖDAINIŲ RAJONO SAVIVALDYBĖS  2021 METŲ BIUDŽETO ASIGNAVIMAI INVESTICIJŲ PROJEKTAMS FINANSUOTI  PASKOLŲ LĖŠOMIS PAGAL OBJEKTUS</t>
  </si>
  <si>
    <t>(Eur)</t>
  </si>
  <si>
    <t>Turtui įsigyti</t>
  </si>
  <si>
    <t>Iš jų darbo užmokesčiui</t>
  </si>
  <si>
    <t>Didinti Kėdainių lopšelio-darželio „Vaikystė“ viešojo pastato, esančio Mindaugo g. 21, Kėdainių m., Kėdainių r. sav., energinį efektyvumą</t>
  </si>
  <si>
    <t>4.2</t>
  </si>
  <si>
    <t>4.3</t>
  </si>
  <si>
    <t>15.25</t>
  </si>
  <si>
    <t xml:space="preserve">                        ________________________________________</t>
  </si>
  <si>
    <t>Kita dotacija  kompensuoti savivaldybės patirtas išlaidas, vykdant įsipareigojimus vietinio (miesto ir priemiesčio) transporto vežėjams, kurie negavo pajamų dėl su COVID-19 pandemija susijusių keleivių vežimo apribojimų, esant valstybės lygio ekstremaliajai situacijai</t>
  </si>
  <si>
    <t xml:space="preserve">     valstybės biudžeto lėšos, skirtos savivaldybei išlaidoms, patirtoms vykdant įsipareigojimus vietinio (miesto ir priemiesčio) transporto vežėjams, kurie negavo pajamų dėl su COVID-19 pandemija susijusių keleivių vežimo apribojimų, esant valstybės lygio ekstremaliajai situacijai, kompensuoti</t>
  </si>
  <si>
    <t xml:space="preserve">                                                              2021 m. gruodžio 17 d. sprendimo Nr. TS-319</t>
  </si>
  <si>
    <t xml:space="preserve">                                                              Kėdainių rajono savivaldybės tarybos</t>
  </si>
  <si>
    <t xml:space="preserve">                                                                      2021 m. gruodžio 17 d. sprendimo Nr. TS-319</t>
  </si>
  <si>
    <t xml:space="preserve">                                                        Kėdainių rajono savivaldybės tarybos</t>
  </si>
  <si>
    <t xml:space="preserve">                                                                           2021 m. gruodžio 17 d. sprendimo Nr. TS-319</t>
  </si>
  <si>
    <t xml:space="preserve">                                                                Kėdainių rajono savivaldybės tarybos</t>
  </si>
  <si>
    <t xml:space="preserve">                                                                        2021 m. gruodžio 17 d. sprendimo Nr. TS-319</t>
  </si>
  <si>
    <t xml:space="preserve">                                                            Kėdainių rajono savivaldybės tarybos</t>
  </si>
  <si>
    <t xml:space="preserve">                                                           Kėdainių rajono savivaldybės tarybos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</si>
</sst>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;\-0.0;;"/>
    <numFmt numFmtId="170" formatCode="0.000"/>
    <numFmt numFmtId="171" formatCode="#,##0.0_ ;\-#,##0.0\ "/>
    <numFmt numFmtId="172" formatCode="0.0;\-0.0;"/>
  </numFmts>
  <fonts count="14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20">
    <xf numFmtId="0" fontId="0" fillId="0" borderId="0"/>
    <xf numFmtId="0" fontId="6" fillId="0" borderId="0"/>
    <xf numFmtId="0" fontId="1" fillId="0" borderId="0"/>
    <xf numFmtId="0" fontId="6" fillId="0" borderId="0"/>
    <xf numFmtId="0" fontId="12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08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67" fontId="1" fillId="0" borderId="0" xfId="0" applyNumberFormat="1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7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vertical="center"/>
    </xf>
    <xf numFmtId="171" fontId="2" fillId="0" borderId="1" xfId="0" applyNumberFormat="1" applyFont="1" applyFill="1" applyBorder="1" applyAlignment="1">
      <alignment horizontal="right" vertical="center"/>
    </xf>
    <xf numFmtId="171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167" fontId="8" fillId="0" borderId="0" xfId="0" applyNumberFormat="1" applyFont="1" applyFill="1"/>
    <xf numFmtId="49" fontId="2" fillId="0" borderId="1" xfId="0" applyNumberFormat="1" applyFont="1" applyFill="1" applyBorder="1" applyAlignment="1">
      <alignment horizontal="right" vertical="center"/>
    </xf>
    <xf numFmtId="167" fontId="1" fillId="0" borderId="3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18" applyNumberForma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168" fontId="5" fillId="0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Fill="1" applyBorder="1" applyAlignment="1">
      <alignment horizontal="left" vertical="center"/>
    </xf>
    <xf numFmtId="169" fontId="1" fillId="0" borderId="0" xfId="0" applyNumberFormat="1" applyFont="1" applyFill="1"/>
    <xf numFmtId="167" fontId="1" fillId="0" borderId="0" xfId="0" applyNumberFormat="1" applyFont="1" applyFill="1" applyAlignment="1">
      <alignment horizontal="right"/>
    </xf>
    <xf numFmtId="0" fontId="13" fillId="0" borderId="0" xfId="0" applyFont="1" applyFill="1"/>
    <xf numFmtId="168" fontId="1" fillId="0" borderId="1" xfId="18" applyNumberForma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/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right" vertical="center"/>
    </xf>
    <xf numFmtId="168" fontId="2" fillId="0" borderId="1" xfId="0" applyNumberFormat="1" applyFont="1" applyFill="1" applyBorder="1"/>
    <xf numFmtId="168" fontId="1" fillId="0" borderId="0" xfId="0" applyNumberFormat="1" applyFont="1" applyFill="1"/>
    <xf numFmtId="168" fontId="2" fillId="0" borderId="1" xfId="0" applyNumberFormat="1" applyFont="1" applyFill="1" applyBorder="1" applyAlignment="1">
      <alignment vertical="center"/>
    </xf>
    <xf numFmtId="4" fontId="1" fillId="0" borderId="0" xfId="0" applyNumberFormat="1" applyFont="1" applyFill="1"/>
    <xf numFmtId="167" fontId="2" fillId="0" borderId="0" xfId="0" applyNumberFormat="1" applyFont="1" applyFill="1"/>
    <xf numFmtId="0" fontId="1" fillId="0" borderId="1" xfId="1" applyFont="1" applyFill="1" applyBorder="1" applyAlignment="1">
      <alignment vertical="center"/>
    </xf>
    <xf numFmtId="168" fontId="2" fillId="0" borderId="0" xfId="0" applyNumberFormat="1" applyFont="1" applyFill="1"/>
    <xf numFmtId="170" fontId="1" fillId="0" borderId="0" xfId="0" applyNumberFormat="1" applyFont="1" applyFill="1"/>
    <xf numFmtId="0" fontId="2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1" fontId="1" fillId="0" borderId="0" xfId="0" applyNumberFormat="1" applyFont="1" applyFill="1"/>
    <xf numFmtId="16" fontId="1" fillId="0" borderId="1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right" vertical="center"/>
    </xf>
    <xf numFmtId="168" fontId="1" fillId="0" borderId="1" xfId="0" applyNumberFormat="1" applyFont="1" applyFill="1" applyBorder="1"/>
    <xf numFmtId="167" fontId="1" fillId="0" borderId="5" xfId="0" applyNumberFormat="1" applyFont="1" applyFill="1" applyBorder="1" applyAlignment="1">
      <alignment horizontal="right"/>
    </xf>
    <xf numFmtId="167" fontId="13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horizontal="justify" vertical="center" wrapText="1"/>
    </xf>
    <xf numFmtId="16" fontId="1" fillId="0" borderId="0" xfId="0" applyNumberFormat="1" applyFont="1" applyFill="1" applyAlignment="1">
      <alignment horizontal="right"/>
    </xf>
    <xf numFmtId="0" fontId="2" fillId="0" borderId="1" xfId="1" applyFont="1" applyFill="1" applyBorder="1" applyAlignment="1">
      <alignment horizontal="right" vertical="center"/>
    </xf>
    <xf numFmtId="167" fontId="2" fillId="0" borderId="0" xfId="0" applyNumberFormat="1" applyFont="1" applyFill="1" applyAlignment="1">
      <alignment horizontal="right"/>
    </xf>
    <xf numFmtId="168" fontId="2" fillId="0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wrapText="1"/>
    </xf>
    <xf numFmtId="167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 applyAlignment="1">
      <alignment vertical="center"/>
    </xf>
    <xf numFmtId="167" fontId="1" fillId="0" borderId="0" xfId="0" applyNumberFormat="1" applyFont="1" applyFill="1" applyBorder="1" applyAlignment="1">
      <alignment horizontal="right" wrapText="1"/>
    </xf>
    <xf numFmtId="167" fontId="1" fillId="0" borderId="0" xfId="0" applyNumberFormat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8" fontId="2" fillId="0" borderId="0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right"/>
    </xf>
    <xf numFmtId="168" fontId="2" fillId="0" borderId="0" xfId="1" applyNumberFormat="1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168" fontId="1" fillId="0" borderId="1" xfId="0" applyNumberFormat="1" applyFont="1" applyFill="1" applyBorder="1" applyAlignment="1">
      <alignment horizontal="right" vertical="center" wrapText="1"/>
    </xf>
    <xf numFmtId="168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horizontal="center" vertical="center" wrapText="1"/>
    </xf>
    <xf numFmtId="167" fontId="13" fillId="0" borderId="0" xfId="0" applyNumberFormat="1" applyFont="1" applyFill="1"/>
    <xf numFmtId="167" fontId="1" fillId="0" borderId="0" xfId="0" applyNumberFormat="1" applyFont="1" applyFill="1" applyAlignment="1">
      <alignment wrapText="1"/>
    </xf>
    <xf numFmtId="169" fontId="1" fillId="0" borderId="1" xfId="0" applyNumberFormat="1" applyFont="1" applyFill="1" applyBorder="1" applyAlignment="1">
      <alignment horizontal="right" vertical="center"/>
    </xf>
    <xf numFmtId="167" fontId="1" fillId="0" borderId="1" xfId="18" applyNumberFormat="1" applyFill="1" applyBorder="1" applyAlignment="1">
      <alignment vertical="center" wrapText="1"/>
    </xf>
    <xf numFmtId="167" fontId="1" fillId="0" borderId="1" xfId="18" applyNumberForma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vertical="center" wrapText="1"/>
    </xf>
    <xf numFmtId="168" fontId="2" fillId="0" borderId="1" xfId="18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169" fontId="13" fillId="0" borderId="0" xfId="0" applyNumberFormat="1" applyFont="1" applyFill="1"/>
    <xf numFmtId="0" fontId="1" fillId="0" borderId="1" xfId="17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168" fontId="2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vertical="center" wrapText="1"/>
    </xf>
    <xf numFmtId="167" fontId="1" fillId="0" borderId="1" xfId="18" applyNumberFormat="1" applyFill="1" applyBorder="1" applyAlignment="1">
      <alignment vertical="center"/>
    </xf>
    <xf numFmtId="49" fontId="1" fillId="0" borderId="1" xfId="18" applyNumberFormat="1" applyFill="1" applyBorder="1" applyAlignment="1">
      <alignment horizontal="center" vertical="center"/>
    </xf>
    <xf numFmtId="0" fontId="5" fillId="0" borderId="1" xfId="17" applyFont="1" applyFill="1" applyBorder="1" applyAlignment="1">
      <alignment vertical="center" wrapText="1"/>
    </xf>
    <xf numFmtId="167" fontId="2" fillId="0" borderId="0" xfId="0" applyNumberFormat="1" applyFont="1" applyFill="1" applyAlignment="1">
      <alignment horizontal="right" vertical="center"/>
    </xf>
    <xf numFmtId="167" fontId="2" fillId="0" borderId="1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49" fontId="1" fillId="0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171" fontId="1" fillId="0" borderId="1" xfId="0" applyNumberFormat="1" applyFont="1" applyFill="1" applyBorder="1" applyAlignment="1">
      <alignment horizontal="center" vertical="center" wrapText="1"/>
    </xf>
    <xf numFmtId="171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17" applyNumberForma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2" fillId="0" borderId="1" xfId="18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 wrapText="1"/>
    </xf>
    <xf numFmtId="168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right" vertical="center"/>
    </xf>
    <xf numFmtId="167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168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68" fontId="1" fillId="0" borderId="0" xfId="0" applyNumberFormat="1" applyFont="1" applyFill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horizontal="center"/>
    </xf>
    <xf numFmtId="168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" fontId="8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horizontal="left" vertical="center" wrapText="1"/>
    </xf>
    <xf numFmtId="16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1" applyFont="1" applyFill="1" applyAlignment="1">
      <alignment vertical="center" wrapText="1"/>
    </xf>
    <xf numFmtId="0" fontId="5" fillId="0" borderId="1" xfId="0" applyFont="1" applyFill="1" applyBorder="1" applyAlignment="1">
      <alignment wrapText="1"/>
    </xf>
    <xf numFmtId="168" fontId="1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171" fontId="2" fillId="0" borderId="1" xfId="0" applyNumberFormat="1" applyFont="1" applyFill="1" applyBorder="1" applyAlignment="1">
      <alignment horizontal="center" vertical="center" wrapText="1"/>
    </xf>
    <xf numFmtId="171" fontId="1" fillId="0" borderId="1" xfId="18" applyNumberFormat="1" applyFill="1" applyBorder="1" applyAlignment="1">
      <alignment horizontal="right" vertical="center"/>
    </xf>
    <xf numFmtId="172" fontId="1" fillId="0" borderId="1" xfId="18" applyNumberFormat="1" applyFill="1" applyBorder="1" applyAlignment="1">
      <alignment horizontal="right" vertical="center"/>
    </xf>
    <xf numFmtId="0" fontId="8" fillId="0" borderId="0" xfId="0" applyFont="1" applyFill="1"/>
    <xf numFmtId="171" fontId="2" fillId="0" borderId="1" xfId="18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right"/>
    </xf>
    <xf numFmtId="167" fontId="1" fillId="0" borderId="0" xfId="0" applyNumberFormat="1" applyFont="1" applyFill="1" applyAlignment="1">
      <alignment horizontal="left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20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5" xfId="12"/>
    <cellStyle name="Kablelis 5 2" xfId="13"/>
    <cellStyle name="Normal 2" xfId="14"/>
    <cellStyle name="Normal 3" xfId="15"/>
    <cellStyle name="Normal_biudžetas 6" xfId="16"/>
    <cellStyle name="Normal_biudžetas 6_2009 m 02 men biudzetas." xfId="17"/>
    <cellStyle name="Normal_Sheet1_2009 m 02 men biudzetas." xfId="18"/>
    <cellStyle name="Paprastas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theme/theme1.xml><?xml version="1.0" encoding="utf-8"?>
<a:theme xmlns:a="http://purl.oclc.org/ooxml/drawingml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116"/>
  <sheetViews>
    <sheetView tabSelected="1" workbookViewId="0">
      <selection activeCell="F6" sqref="F6"/>
    </sheetView>
  </sheetViews>
  <sheetFormatPr defaultColWidth="9.109375" defaultRowHeight="13.2" x14ac:dyDescent="0.25"/>
  <cols>
    <col min="1" max="1" width="6.33203125" style="3" customWidth="1"/>
    <col min="2" max="2" width="62" style="2" customWidth="1"/>
    <col min="3" max="3" width="14.5546875" style="2" bestFit="1" customWidth="1"/>
    <col min="4" max="4" width="9.33203125" style="2" customWidth="1"/>
    <col min="5" max="5" width="9.109375" style="2"/>
    <col min="6" max="6" width="15.109375" style="2" customWidth="1"/>
    <col min="7" max="8" width="9.109375" style="2"/>
    <col min="9" max="9" width="9.44140625" style="2" bestFit="1" customWidth="1"/>
    <col min="10" max="16384" width="9.109375" style="2"/>
  </cols>
  <sheetData>
    <row r="1" spans="1:20" ht="15.6" x14ac:dyDescent="0.3">
      <c r="A1" s="49"/>
      <c r="B1" s="169" t="s">
        <v>815</v>
      </c>
      <c r="C1" s="169"/>
    </row>
    <row r="2" spans="1:20" ht="15.6" x14ac:dyDescent="0.3">
      <c r="A2" s="49"/>
      <c r="B2" s="170" t="s">
        <v>814</v>
      </c>
      <c r="C2" s="170"/>
    </row>
    <row r="3" spans="1:20" ht="15.6" x14ac:dyDescent="0.3">
      <c r="A3" s="171" t="s">
        <v>621</v>
      </c>
      <c r="B3" s="171"/>
      <c r="C3" s="171"/>
    </row>
    <row r="4" spans="1:20" ht="15.6" x14ac:dyDescent="0.3">
      <c r="A4" s="51"/>
      <c r="B4" s="50"/>
      <c r="C4" s="50"/>
    </row>
    <row r="5" spans="1:20" x14ac:dyDescent="0.25">
      <c r="A5" s="49"/>
      <c r="B5" s="52" t="s">
        <v>622</v>
      </c>
      <c r="C5" s="53"/>
    </row>
    <row r="6" spans="1:20" x14ac:dyDescent="0.25">
      <c r="A6" s="49"/>
      <c r="B6" s="53"/>
      <c r="C6" s="53"/>
    </row>
    <row r="7" spans="1:20" s="3" customFormat="1" x14ac:dyDescent="0.25">
      <c r="A7" s="54" t="s">
        <v>0</v>
      </c>
      <c r="B7" s="55" t="s">
        <v>623</v>
      </c>
      <c r="C7" s="55" t="s">
        <v>624</v>
      </c>
    </row>
    <row r="8" spans="1:20" ht="12.6" customHeight="1" x14ac:dyDescent="0.25">
      <c r="A8" s="56">
        <v>1</v>
      </c>
      <c r="B8" s="54" t="s">
        <v>625</v>
      </c>
      <c r="C8" s="57">
        <f>+C9+C10+C14</f>
        <v>31642</v>
      </c>
      <c r="D8" s="45"/>
      <c r="F8" s="58"/>
      <c r="H8" s="58"/>
      <c r="I8" s="58"/>
    </row>
    <row r="9" spans="1:20" ht="12.6" customHeight="1" x14ac:dyDescent="0.25">
      <c r="A9" s="56">
        <v>2</v>
      </c>
      <c r="B9" s="54" t="s">
        <v>626</v>
      </c>
      <c r="C9" s="59">
        <f>26617+2217+263</f>
        <v>29097</v>
      </c>
      <c r="D9" s="45"/>
      <c r="G9" s="58"/>
      <c r="H9" s="60"/>
      <c r="I9" s="61"/>
      <c r="J9" s="58"/>
    </row>
    <row r="10" spans="1:20" ht="11.25" customHeight="1" x14ac:dyDescent="0.25">
      <c r="A10" s="56">
        <v>3</v>
      </c>
      <c r="B10" s="54" t="s">
        <v>627</v>
      </c>
      <c r="C10" s="59">
        <f>+C11+C13+C12</f>
        <v>2350</v>
      </c>
      <c r="D10" s="26"/>
      <c r="E10" s="61"/>
      <c r="F10" s="58"/>
      <c r="G10" s="58"/>
      <c r="I10" s="4"/>
      <c r="J10" s="58"/>
    </row>
    <row r="11" spans="1:20" ht="12.6" customHeight="1" x14ac:dyDescent="0.25">
      <c r="A11" s="56">
        <v>4</v>
      </c>
      <c r="B11" s="62" t="s">
        <v>628</v>
      </c>
      <c r="C11" s="40">
        <v>650</v>
      </c>
      <c r="D11" s="45"/>
      <c r="E11" s="63"/>
      <c r="G11" s="58"/>
    </row>
    <row r="12" spans="1:20" ht="12.6" customHeight="1" x14ac:dyDescent="0.25">
      <c r="A12" s="56">
        <v>5</v>
      </c>
      <c r="B12" s="62" t="s">
        <v>629</v>
      </c>
      <c r="C12" s="40">
        <v>10</v>
      </c>
      <c r="D12" s="45"/>
      <c r="E12" s="63"/>
      <c r="I12" s="64"/>
    </row>
    <row r="13" spans="1:20" ht="12.6" customHeight="1" x14ac:dyDescent="0.25">
      <c r="A13" s="56">
        <v>6</v>
      </c>
      <c r="B13" s="62" t="s">
        <v>630</v>
      </c>
      <c r="C13" s="40">
        <f>1000+59+631</f>
        <v>1690</v>
      </c>
      <c r="D13" s="45"/>
      <c r="E13" s="58"/>
    </row>
    <row r="14" spans="1:20" ht="12.6" customHeight="1" x14ac:dyDescent="0.25">
      <c r="A14" s="56">
        <v>7</v>
      </c>
      <c r="B14" s="54" t="s">
        <v>631</v>
      </c>
      <c r="C14" s="57">
        <f>+C15</f>
        <v>195</v>
      </c>
      <c r="D14" s="45"/>
      <c r="T14" s="4"/>
    </row>
    <row r="15" spans="1:20" ht="12.6" customHeight="1" x14ac:dyDescent="0.25">
      <c r="A15" s="56">
        <v>8</v>
      </c>
      <c r="B15" s="62" t="s">
        <v>632</v>
      </c>
      <c r="C15" s="40">
        <v>195</v>
      </c>
      <c r="D15" s="45"/>
    </row>
    <row r="16" spans="1:20" ht="12.6" customHeight="1" x14ac:dyDescent="0.25">
      <c r="A16" s="56">
        <v>9</v>
      </c>
      <c r="B16" s="54" t="s">
        <v>633</v>
      </c>
      <c r="C16" s="57">
        <f>+C20+C50+C17</f>
        <v>31125.200000000004</v>
      </c>
      <c r="D16" s="45"/>
    </row>
    <row r="17" spans="1:11" ht="26.4" x14ac:dyDescent="0.25">
      <c r="A17" s="56">
        <v>10</v>
      </c>
      <c r="B17" s="65" t="s">
        <v>634</v>
      </c>
      <c r="C17" s="57">
        <f>+C18+C19</f>
        <v>3540.6000000000004</v>
      </c>
      <c r="D17" s="45"/>
      <c r="K17" s="58"/>
    </row>
    <row r="18" spans="1:11" ht="26.4" x14ac:dyDescent="0.25">
      <c r="A18" s="56" t="s">
        <v>212</v>
      </c>
      <c r="B18" s="66" t="s">
        <v>635</v>
      </c>
      <c r="C18" s="40">
        <f>2700.7+3.7+9.6-171.2+847.2+25.8</f>
        <v>3415.8</v>
      </c>
      <c r="D18" s="45"/>
      <c r="K18" s="58"/>
    </row>
    <row r="19" spans="1:11" ht="26.4" x14ac:dyDescent="0.25">
      <c r="A19" s="56" t="s">
        <v>251</v>
      </c>
      <c r="B19" s="66" t="s">
        <v>636</v>
      </c>
      <c r="C19" s="40">
        <f>141.7-25+5.8+2.3</f>
        <v>124.79999999999998</v>
      </c>
      <c r="D19" s="45"/>
      <c r="K19" s="58"/>
    </row>
    <row r="20" spans="1:11" ht="12.6" customHeight="1" x14ac:dyDescent="0.25">
      <c r="A20" s="56">
        <v>11</v>
      </c>
      <c r="B20" s="54" t="s">
        <v>637</v>
      </c>
      <c r="C20" s="59">
        <f>+C21+C46+C48</f>
        <v>20479</v>
      </c>
      <c r="D20" s="45"/>
    </row>
    <row r="21" spans="1:11" ht="12.6" customHeight="1" x14ac:dyDescent="0.25">
      <c r="A21" s="56">
        <v>12</v>
      </c>
      <c r="B21" s="62" t="s">
        <v>638</v>
      </c>
      <c r="C21" s="40">
        <f>SUM(C22:C45)</f>
        <v>5284.3</v>
      </c>
      <c r="D21" s="45"/>
      <c r="E21" s="67"/>
    </row>
    <row r="22" spans="1:11" ht="12.6" customHeight="1" x14ac:dyDescent="0.25">
      <c r="A22" s="68" t="s">
        <v>639</v>
      </c>
      <c r="B22" s="62" t="s">
        <v>640</v>
      </c>
      <c r="C22" s="40">
        <v>29.6</v>
      </c>
      <c r="D22" s="45"/>
      <c r="F22" s="4"/>
    </row>
    <row r="23" spans="1:11" ht="12.6" customHeight="1" x14ac:dyDescent="0.25">
      <c r="A23" s="56" t="s">
        <v>641</v>
      </c>
      <c r="B23" s="62" t="s">
        <v>642</v>
      </c>
      <c r="C23" s="40">
        <v>8.1999999999999993</v>
      </c>
      <c r="D23" s="45"/>
      <c r="F23" s="4"/>
    </row>
    <row r="24" spans="1:11" ht="12.6" customHeight="1" x14ac:dyDescent="0.25">
      <c r="A24" s="68" t="s">
        <v>643</v>
      </c>
      <c r="B24" s="62" t="s">
        <v>644</v>
      </c>
      <c r="C24" s="40">
        <f>287+99.2-29.7-8+7</f>
        <v>355.5</v>
      </c>
      <c r="D24" s="45"/>
      <c r="E24" s="58"/>
      <c r="F24" s="4"/>
    </row>
    <row r="25" spans="1:11" ht="12.6" customHeight="1" x14ac:dyDescent="0.25">
      <c r="A25" s="56" t="s">
        <v>645</v>
      </c>
      <c r="B25" s="62" t="s">
        <v>646</v>
      </c>
      <c r="C25" s="40">
        <f>749.9+30</f>
        <v>779.9</v>
      </c>
      <c r="D25" s="45"/>
    </row>
    <row r="26" spans="1:11" ht="12.6" customHeight="1" x14ac:dyDescent="0.25">
      <c r="A26" s="68" t="s">
        <v>647</v>
      </c>
      <c r="B26" s="62" t="s">
        <v>648</v>
      </c>
      <c r="C26" s="40">
        <f>708.4+644.2+261.5+27.9</f>
        <v>1642</v>
      </c>
      <c r="D26" s="26"/>
      <c r="H26" s="4"/>
    </row>
    <row r="27" spans="1:11" ht="12.6" customHeight="1" x14ac:dyDescent="0.25">
      <c r="A27" s="56" t="s">
        <v>649</v>
      </c>
      <c r="B27" s="62" t="s">
        <v>650</v>
      </c>
      <c r="C27" s="40">
        <f>18.2+2.6</f>
        <v>20.8</v>
      </c>
      <c r="D27" s="45"/>
    </row>
    <row r="28" spans="1:11" ht="26.25" customHeight="1" x14ac:dyDescent="0.25">
      <c r="A28" s="68" t="s">
        <v>651</v>
      </c>
      <c r="B28" s="66" t="s">
        <v>652</v>
      </c>
      <c r="C28" s="40">
        <v>3.7</v>
      </c>
      <c r="D28" s="45"/>
    </row>
    <row r="29" spans="1:11" ht="15.75" customHeight="1" x14ac:dyDescent="0.25">
      <c r="A29" s="56" t="s">
        <v>653</v>
      </c>
      <c r="B29" s="69" t="s">
        <v>654</v>
      </c>
      <c r="C29" s="40">
        <v>139.30000000000001</v>
      </c>
      <c r="D29" s="45"/>
    </row>
    <row r="30" spans="1:11" ht="12.6" customHeight="1" x14ac:dyDescent="0.25">
      <c r="A30" s="68" t="s">
        <v>655</v>
      </c>
      <c r="B30" s="69" t="s">
        <v>656</v>
      </c>
      <c r="C30" s="40">
        <v>33.1</v>
      </c>
      <c r="D30" s="45"/>
    </row>
    <row r="31" spans="1:11" ht="12.6" customHeight="1" x14ac:dyDescent="0.25">
      <c r="A31" s="56" t="s">
        <v>657</v>
      </c>
      <c r="B31" s="69" t="s">
        <v>658</v>
      </c>
      <c r="C31" s="40">
        <v>14.2</v>
      </c>
      <c r="D31" s="45"/>
    </row>
    <row r="32" spans="1:11" ht="12.6" customHeight="1" x14ac:dyDescent="0.25">
      <c r="A32" s="68" t="s">
        <v>659</v>
      </c>
      <c r="B32" s="69" t="s">
        <v>660</v>
      </c>
      <c r="C32" s="40">
        <v>0.8</v>
      </c>
      <c r="D32" s="45"/>
    </row>
    <row r="33" spans="1:6" ht="12.6" customHeight="1" x14ac:dyDescent="0.25">
      <c r="A33" s="56" t="s">
        <v>661</v>
      </c>
      <c r="B33" s="69" t="s">
        <v>662</v>
      </c>
      <c r="C33" s="40">
        <v>44.9</v>
      </c>
      <c r="D33" s="45"/>
    </row>
    <row r="34" spans="1:6" ht="12.6" customHeight="1" x14ac:dyDescent="0.25">
      <c r="A34" s="68" t="s">
        <v>663</v>
      </c>
      <c r="B34" s="69" t="s">
        <v>664</v>
      </c>
      <c r="C34" s="40">
        <f>980.8+93.5</f>
        <v>1074.3</v>
      </c>
      <c r="D34" s="45"/>
    </row>
    <row r="35" spans="1:6" ht="24.9" customHeight="1" x14ac:dyDescent="0.25">
      <c r="A35" s="56" t="s">
        <v>665</v>
      </c>
      <c r="B35" s="69" t="s">
        <v>666</v>
      </c>
      <c r="C35" s="40">
        <v>8.9</v>
      </c>
      <c r="D35" s="45"/>
    </row>
    <row r="36" spans="1:6" ht="12.6" customHeight="1" x14ac:dyDescent="0.25">
      <c r="A36" s="68" t="s">
        <v>667</v>
      </c>
      <c r="B36" s="69" t="s">
        <v>668</v>
      </c>
      <c r="C36" s="40">
        <v>200.1</v>
      </c>
      <c r="D36" s="45"/>
    </row>
    <row r="37" spans="1:6" ht="12.6" customHeight="1" x14ac:dyDescent="0.25">
      <c r="A37" s="56" t="s">
        <v>669</v>
      </c>
      <c r="B37" s="62" t="s">
        <v>670</v>
      </c>
      <c r="C37" s="40">
        <v>360</v>
      </c>
      <c r="D37" s="45"/>
    </row>
    <row r="38" spans="1:6" ht="12.6" customHeight="1" x14ac:dyDescent="0.25">
      <c r="A38" s="68" t="s">
        <v>671</v>
      </c>
      <c r="B38" s="62" t="s">
        <v>672</v>
      </c>
      <c r="C38" s="40">
        <v>19.3</v>
      </c>
      <c r="D38" s="45"/>
    </row>
    <row r="39" spans="1:6" x14ac:dyDescent="0.25">
      <c r="A39" s="56" t="s">
        <v>673</v>
      </c>
      <c r="B39" s="62" t="s">
        <v>674</v>
      </c>
      <c r="C39" s="40">
        <v>45</v>
      </c>
      <c r="D39" s="45"/>
    </row>
    <row r="40" spans="1:6" ht="12.6" customHeight="1" x14ac:dyDescent="0.25">
      <c r="A40" s="68" t="s">
        <v>675</v>
      </c>
      <c r="B40" s="66" t="s">
        <v>676</v>
      </c>
      <c r="C40" s="40">
        <v>0.8</v>
      </c>
      <c r="D40" s="45"/>
    </row>
    <row r="41" spans="1:6" ht="12.6" customHeight="1" x14ac:dyDescent="0.25">
      <c r="A41" s="56" t="s">
        <v>677</v>
      </c>
      <c r="B41" s="66" t="s">
        <v>678</v>
      </c>
      <c r="C41" s="40">
        <v>264.60000000000002</v>
      </c>
      <c r="D41" s="45"/>
    </row>
    <row r="42" spans="1:6" ht="12.6" customHeight="1" x14ac:dyDescent="0.25">
      <c r="A42" s="68" t="s">
        <v>679</v>
      </c>
      <c r="B42" s="66" t="s">
        <v>680</v>
      </c>
      <c r="C42" s="40">
        <v>131.5</v>
      </c>
      <c r="D42" s="45"/>
    </row>
    <row r="43" spans="1:6" ht="15.75" customHeight="1" x14ac:dyDescent="0.25">
      <c r="A43" s="56" t="s">
        <v>681</v>
      </c>
      <c r="B43" s="66" t="s">
        <v>682</v>
      </c>
      <c r="C43" s="40">
        <v>2.9</v>
      </c>
      <c r="D43" s="45"/>
    </row>
    <row r="44" spans="1:6" ht="15.75" customHeight="1" x14ac:dyDescent="0.25">
      <c r="A44" s="68" t="s">
        <v>683</v>
      </c>
      <c r="B44" s="66" t="s">
        <v>684</v>
      </c>
      <c r="C44" s="40">
        <v>87.2</v>
      </c>
      <c r="D44" s="45"/>
    </row>
    <row r="45" spans="1:6" ht="39.6" x14ac:dyDescent="0.25">
      <c r="A45" s="68" t="s">
        <v>685</v>
      </c>
      <c r="B45" s="66" t="s">
        <v>686</v>
      </c>
      <c r="C45" s="40">
        <v>17.7</v>
      </c>
      <c r="D45" s="45"/>
    </row>
    <row r="46" spans="1:6" ht="12.6" customHeight="1" x14ac:dyDescent="0.25">
      <c r="A46" s="56">
        <v>13</v>
      </c>
      <c r="B46" s="62" t="s">
        <v>687</v>
      </c>
      <c r="C46" s="40">
        <f>14248.3+156.4-0.3+235.9</f>
        <v>14640.3</v>
      </c>
      <c r="D46" s="45"/>
      <c r="E46" s="67"/>
      <c r="F46" s="4"/>
    </row>
    <row r="47" spans="1:6" x14ac:dyDescent="0.25">
      <c r="A47" s="70" t="s">
        <v>496</v>
      </c>
      <c r="B47" s="66" t="s">
        <v>688</v>
      </c>
      <c r="C47" s="40">
        <f>156.4-0.3</f>
        <v>156.1</v>
      </c>
      <c r="D47" s="45"/>
    </row>
    <row r="48" spans="1:6" ht="12.6" customHeight="1" x14ac:dyDescent="0.25">
      <c r="A48" s="56">
        <v>14</v>
      </c>
      <c r="B48" s="62" t="s">
        <v>689</v>
      </c>
      <c r="C48" s="71">
        <f>+C49</f>
        <v>554.4</v>
      </c>
      <c r="D48" s="45"/>
      <c r="E48" s="67"/>
      <c r="F48" s="4"/>
    </row>
    <row r="49" spans="1:6" ht="12.6" customHeight="1" x14ac:dyDescent="0.25">
      <c r="A49" s="70" t="s">
        <v>690</v>
      </c>
      <c r="B49" s="66" t="s">
        <v>691</v>
      </c>
      <c r="C49" s="40">
        <v>554.4</v>
      </c>
      <c r="D49" s="45"/>
      <c r="E49" s="67"/>
      <c r="F49" s="4"/>
    </row>
    <row r="50" spans="1:6" ht="12.6" customHeight="1" x14ac:dyDescent="0.25">
      <c r="A50" s="56">
        <v>15</v>
      </c>
      <c r="B50" s="54" t="s">
        <v>692</v>
      </c>
      <c r="C50" s="59">
        <f>SUM(C51:C75)</f>
        <v>7105.6000000000013</v>
      </c>
      <c r="D50" s="72"/>
    </row>
    <row r="51" spans="1:6" ht="12.6" customHeight="1" x14ac:dyDescent="0.25">
      <c r="A51" s="56" t="s">
        <v>228</v>
      </c>
      <c r="B51" s="62" t="s">
        <v>693</v>
      </c>
      <c r="C51" s="40">
        <v>1.8</v>
      </c>
      <c r="D51" s="45"/>
    </row>
    <row r="52" spans="1:6" x14ac:dyDescent="0.25">
      <c r="A52" s="56" t="s">
        <v>497</v>
      </c>
      <c r="B52" s="66" t="s">
        <v>694</v>
      </c>
      <c r="C52" s="40">
        <v>274.60000000000002</v>
      </c>
      <c r="D52" s="45"/>
    </row>
    <row r="53" spans="1:6" ht="26.4" x14ac:dyDescent="0.25">
      <c r="A53" s="56" t="s">
        <v>229</v>
      </c>
      <c r="B53" s="66" t="s">
        <v>695</v>
      </c>
      <c r="C53" s="40">
        <v>20.9</v>
      </c>
      <c r="D53" s="45"/>
    </row>
    <row r="54" spans="1:6" ht="26.4" x14ac:dyDescent="0.25">
      <c r="A54" s="56" t="s">
        <v>230</v>
      </c>
      <c r="B54" s="66" t="s">
        <v>696</v>
      </c>
      <c r="C54" s="40">
        <v>101.3</v>
      </c>
      <c r="D54" s="45"/>
    </row>
    <row r="55" spans="1:6" ht="39.6" x14ac:dyDescent="0.25">
      <c r="A55" s="56" t="s">
        <v>231</v>
      </c>
      <c r="B55" s="66" t="s">
        <v>697</v>
      </c>
      <c r="C55" s="40">
        <v>5</v>
      </c>
      <c r="D55" s="45"/>
    </row>
    <row r="56" spans="1:6" ht="26.4" x14ac:dyDescent="0.25">
      <c r="A56" s="56" t="s">
        <v>269</v>
      </c>
      <c r="B56" s="66" t="s">
        <v>698</v>
      </c>
      <c r="C56" s="40">
        <f>19.1-11.1</f>
        <v>8.0000000000000018</v>
      </c>
      <c r="D56" s="45"/>
    </row>
    <row r="57" spans="1:6" ht="26.4" x14ac:dyDescent="0.25">
      <c r="A57" s="56" t="s">
        <v>248</v>
      </c>
      <c r="B57" s="66" t="s">
        <v>699</v>
      </c>
      <c r="C57" s="40">
        <f>112.3+10.2</f>
        <v>122.5</v>
      </c>
      <c r="D57" s="45"/>
    </row>
    <row r="58" spans="1:6" x14ac:dyDescent="0.25">
      <c r="A58" s="56" t="s">
        <v>278</v>
      </c>
      <c r="B58" s="66" t="s">
        <v>700</v>
      </c>
      <c r="C58" s="40">
        <v>52.8</v>
      </c>
      <c r="D58" s="45"/>
    </row>
    <row r="59" spans="1:6" x14ac:dyDescent="0.25">
      <c r="A59" s="56" t="s">
        <v>701</v>
      </c>
      <c r="B59" s="66" t="s">
        <v>702</v>
      </c>
      <c r="C59" s="40">
        <v>35</v>
      </c>
      <c r="D59" s="45"/>
    </row>
    <row r="60" spans="1:6" x14ac:dyDescent="0.25">
      <c r="A60" s="56" t="s">
        <v>703</v>
      </c>
      <c r="B60" s="66" t="s">
        <v>704</v>
      </c>
      <c r="C60" s="40">
        <f>31-22.3</f>
        <v>8.6999999999999993</v>
      </c>
      <c r="D60" s="45"/>
    </row>
    <row r="61" spans="1:6" x14ac:dyDescent="0.25">
      <c r="A61" s="56" t="s">
        <v>705</v>
      </c>
      <c r="B61" s="66" t="s">
        <v>706</v>
      </c>
      <c r="C61" s="40">
        <v>25</v>
      </c>
      <c r="D61" s="45"/>
    </row>
    <row r="62" spans="1:6" ht="39.6" x14ac:dyDescent="0.25">
      <c r="A62" s="56" t="s">
        <v>707</v>
      </c>
      <c r="B62" s="66" t="s">
        <v>708</v>
      </c>
      <c r="C62" s="40">
        <f>89.3+86.9+37.5+20.6</f>
        <v>234.29999999999998</v>
      </c>
      <c r="D62" s="45"/>
    </row>
    <row r="63" spans="1:6" ht="26.4" x14ac:dyDescent="0.25">
      <c r="A63" s="56" t="s">
        <v>709</v>
      </c>
      <c r="B63" s="66" t="s">
        <v>801</v>
      </c>
      <c r="C63" s="40">
        <f>10.6+64.7+12+18.1+76.2+64.9+78.4+6.1+119.5+4.7+39.1+262.3</f>
        <v>756.60000000000014</v>
      </c>
      <c r="D63" s="45"/>
    </row>
    <row r="64" spans="1:6" x14ac:dyDescent="0.25">
      <c r="A64" s="56" t="s">
        <v>710</v>
      </c>
      <c r="B64" s="66" t="s">
        <v>711</v>
      </c>
      <c r="C64" s="40">
        <f>1948.3+373.3</f>
        <v>2321.6</v>
      </c>
      <c r="D64" s="73"/>
    </row>
    <row r="65" spans="1:6" ht="26.4" x14ac:dyDescent="0.25">
      <c r="A65" s="56" t="s">
        <v>712</v>
      </c>
      <c r="B65" s="66" t="s">
        <v>713</v>
      </c>
      <c r="C65" s="40">
        <f>957+611+535</f>
        <v>2103</v>
      </c>
      <c r="D65" s="45"/>
    </row>
    <row r="66" spans="1:6" ht="26.4" x14ac:dyDescent="0.25">
      <c r="A66" s="56" t="s">
        <v>750</v>
      </c>
      <c r="B66" s="66" t="s">
        <v>749</v>
      </c>
      <c r="C66" s="40">
        <f>9+8.8</f>
        <v>17.8</v>
      </c>
      <c r="D66" s="45"/>
    </row>
    <row r="67" spans="1:6" x14ac:dyDescent="0.25">
      <c r="A67" s="56" t="s">
        <v>752</v>
      </c>
      <c r="B67" s="66" t="s">
        <v>751</v>
      </c>
      <c r="C67" s="40">
        <f>266.7+204.5+0.9</f>
        <v>472.09999999999997</v>
      </c>
      <c r="D67" s="45"/>
    </row>
    <row r="68" spans="1:6" ht="26.4" x14ac:dyDescent="0.25">
      <c r="A68" s="56" t="s">
        <v>753</v>
      </c>
      <c r="B68" s="66" t="s">
        <v>754</v>
      </c>
      <c r="C68" s="40">
        <v>11</v>
      </c>
      <c r="D68" s="45"/>
    </row>
    <row r="69" spans="1:6" s="46" customFormat="1" ht="39.6" x14ac:dyDescent="0.25">
      <c r="A69" s="56" t="s">
        <v>761</v>
      </c>
      <c r="B69" s="66" t="s">
        <v>769</v>
      </c>
      <c r="C69" s="40">
        <v>71.099999999999994</v>
      </c>
      <c r="D69" s="73"/>
    </row>
    <row r="70" spans="1:6" s="46" customFormat="1" ht="30.6" customHeight="1" x14ac:dyDescent="0.25">
      <c r="A70" s="56" t="s">
        <v>765</v>
      </c>
      <c r="B70" s="66" t="s">
        <v>766</v>
      </c>
      <c r="C70" s="40">
        <v>53</v>
      </c>
      <c r="D70" s="73"/>
    </row>
    <row r="71" spans="1:6" s="46" customFormat="1" ht="30.6" customHeight="1" x14ac:dyDescent="0.25">
      <c r="A71" s="56" t="s">
        <v>771</v>
      </c>
      <c r="B71" s="66" t="s">
        <v>778</v>
      </c>
      <c r="C71" s="40">
        <v>150</v>
      </c>
      <c r="D71" s="45"/>
    </row>
    <row r="72" spans="1:6" s="46" customFormat="1" ht="30.6" customHeight="1" x14ac:dyDescent="0.25">
      <c r="A72" s="56" t="s">
        <v>780</v>
      </c>
      <c r="B72" s="66" t="s">
        <v>787</v>
      </c>
      <c r="C72" s="40">
        <v>1.5</v>
      </c>
      <c r="D72" s="45"/>
    </row>
    <row r="73" spans="1:6" s="46" customFormat="1" ht="30.6" customHeight="1" x14ac:dyDescent="0.25">
      <c r="A73" s="56" t="s">
        <v>782</v>
      </c>
      <c r="B73" s="66" t="s">
        <v>783</v>
      </c>
      <c r="C73" s="40">
        <v>77.900000000000006</v>
      </c>
      <c r="D73" s="45"/>
    </row>
    <row r="74" spans="1:6" s="46" customFormat="1" ht="26.4" x14ac:dyDescent="0.25">
      <c r="A74" s="56" t="s">
        <v>793</v>
      </c>
      <c r="B74" s="66" t="s">
        <v>795</v>
      </c>
      <c r="C74" s="40">
        <f>20.7+12.3</f>
        <v>33</v>
      </c>
      <c r="D74" s="45"/>
    </row>
    <row r="75" spans="1:6" s="46" customFormat="1" ht="52.8" x14ac:dyDescent="0.25">
      <c r="A75" s="56" t="s">
        <v>810</v>
      </c>
      <c r="B75" s="66" t="s">
        <v>813</v>
      </c>
      <c r="C75" s="40">
        <v>147.1</v>
      </c>
      <c r="D75" s="45"/>
    </row>
    <row r="76" spans="1:6" ht="12.6" customHeight="1" x14ac:dyDescent="0.25">
      <c r="A76" s="56">
        <v>16</v>
      </c>
      <c r="B76" s="54" t="s">
        <v>714</v>
      </c>
      <c r="C76" s="59">
        <f>C77+C82+C86+C89+C90+C91</f>
        <v>3625.3</v>
      </c>
      <c r="D76" s="45"/>
      <c r="F76" s="58"/>
    </row>
    <row r="77" spans="1:6" ht="12.6" customHeight="1" x14ac:dyDescent="0.25">
      <c r="A77" s="56">
        <v>17</v>
      </c>
      <c r="B77" s="54" t="s">
        <v>715</v>
      </c>
      <c r="C77" s="59">
        <f>C79+C80+C81+C78</f>
        <v>389.5</v>
      </c>
      <c r="D77" s="45"/>
    </row>
    <row r="78" spans="1:6" ht="12.6" customHeight="1" x14ac:dyDescent="0.25">
      <c r="A78" s="56">
        <v>18</v>
      </c>
      <c r="B78" s="74" t="s">
        <v>716</v>
      </c>
      <c r="C78" s="40">
        <v>20</v>
      </c>
      <c r="D78" s="45"/>
    </row>
    <row r="79" spans="1:6" ht="24.9" customHeight="1" x14ac:dyDescent="0.25">
      <c r="A79" s="56">
        <v>19</v>
      </c>
      <c r="B79" s="66" t="s">
        <v>717</v>
      </c>
      <c r="C79" s="40">
        <v>300</v>
      </c>
      <c r="D79" s="45"/>
    </row>
    <row r="80" spans="1:6" ht="12.6" customHeight="1" x14ac:dyDescent="0.25">
      <c r="A80" s="56">
        <v>20</v>
      </c>
      <c r="B80" s="62" t="s">
        <v>718</v>
      </c>
      <c r="C80" s="40">
        <v>35</v>
      </c>
      <c r="D80" s="45"/>
    </row>
    <row r="81" spans="1:12" ht="12.6" customHeight="1" x14ac:dyDescent="0.25">
      <c r="A81" s="56">
        <v>21</v>
      </c>
      <c r="B81" s="75" t="s">
        <v>249</v>
      </c>
      <c r="C81" s="40">
        <f>20+14.5</f>
        <v>34.5</v>
      </c>
      <c r="D81" s="45"/>
      <c r="L81" s="76"/>
    </row>
    <row r="82" spans="1:12" ht="12.6" customHeight="1" x14ac:dyDescent="0.25">
      <c r="A82" s="56">
        <v>22</v>
      </c>
      <c r="B82" s="54" t="s">
        <v>719</v>
      </c>
      <c r="C82" s="59">
        <f>+C84+C83+C85</f>
        <v>1596.8000000000002</v>
      </c>
      <c r="D82" s="45"/>
    </row>
    <row r="83" spans="1:12" ht="12.6" customHeight="1" x14ac:dyDescent="0.25">
      <c r="A83" s="56">
        <v>23</v>
      </c>
      <c r="B83" s="62" t="s">
        <v>720</v>
      </c>
      <c r="C83" s="40">
        <f>219.2-0.5-4.5-1-0.6-1-0.2-0.2-0.2-0.7-1-0.5-2.9-0.7-1.3-0.6-0.3+0.2+0.5-11-1.1</f>
        <v>191.60000000000002</v>
      </c>
      <c r="D83" s="45"/>
      <c r="E83" s="67"/>
    </row>
    <row r="84" spans="1:12" ht="12.6" customHeight="1" x14ac:dyDescent="0.25">
      <c r="A84" s="56">
        <v>24</v>
      </c>
      <c r="B84" s="62" t="s">
        <v>721</v>
      </c>
      <c r="C84" s="40">
        <f>138.2+4.2-1.7-0.6-2.9-1.6-8.3-0.4-1.5-0.2-0.5-0.2-0.1-0.1+2.1-1-0.4</f>
        <v>124.99999999999999</v>
      </c>
      <c r="D84" s="45"/>
      <c r="E84" s="67"/>
    </row>
    <row r="85" spans="1:12" ht="12.6" customHeight="1" x14ac:dyDescent="0.25">
      <c r="A85" s="56">
        <v>25</v>
      </c>
      <c r="B85" s="62" t="s">
        <v>722</v>
      </c>
      <c r="C85" s="40">
        <f>1369.9-6-10-14.8-14-12.2-0.4-0.5-10+2-1.6-4-3.5-0.2-10.8-1-3+4-1.5-2.2</f>
        <v>1280.2</v>
      </c>
      <c r="D85" s="45"/>
      <c r="E85" s="67"/>
    </row>
    <row r="86" spans="1:12" ht="12.6" customHeight="1" x14ac:dyDescent="0.25">
      <c r="A86" s="56">
        <v>26</v>
      </c>
      <c r="B86" s="54" t="s">
        <v>723</v>
      </c>
      <c r="C86" s="57">
        <f>+C87+C88</f>
        <v>1535</v>
      </c>
      <c r="D86" s="45"/>
      <c r="E86" s="67"/>
    </row>
    <row r="87" spans="1:12" ht="12.6" customHeight="1" x14ac:dyDescent="0.25">
      <c r="A87" s="56">
        <v>27</v>
      </c>
      <c r="B87" s="62" t="s">
        <v>724</v>
      </c>
      <c r="C87" s="40">
        <v>35</v>
      </c>
      <c r="D87" s="45"/>
      <c r="F87" s="58"/>
    </row>
    <row r="88" spans="1:12" ht="12.6" customHeight="1" x14ac:dyDescent="0.25">
      <c r="A88" s="56">
        <v>28</v>
      </c>
      <c r="B88" s="62" t="s">
        <v>725</v>
      </c>
      <c r="C88" s="40">
        <f>1000+350+150</f>
        <v>1500</v>
      </c>
      <c r="D88" s="45"/>
      <c r="H88" s="4"/>
    </row>
    <row r="89" spans="1:12" ht="12.6" customHeight="1" x14ac:dyDescent="0.25">
      <c r="A89" s="56">
        <v>29</v>
      </c>
      <c r="B89" s="54" t="s">
        <v>726</v>
      </c>
      <c r="C89" s="59">
        <v>45</v>
      </c>
      <c r="D89" s="45"/>
      <c r="E89" s="67"/>
    </row>
    <row r="90" spans="1:12" ht="12.6" customHeight="1" x14ac:dyDescent="0.25">
      <c r="A90" s="56">
        <v>30</v>
      </c>
      <c r="B90" s="54" t="s">
        <v>727</v>
      </c>
      <c r="C90" s="59">
        <v>9</v>
      </c>
      <c r="D90" s="45"/>
    </row>
    <row r="91" spans="1:12" ht="12.6" customHeight="1" x14ac:dyDescent="0.25">
      <c r="A91" s="56">
        <v>31</v>
      </c>
      <c r="B91" s="54" t="s">
        <v>728</v>
      </c>
      <c r="C91" s="59">
        <v>50</v>
      </c>
      <c r="D91" s="45"/>
    </row>
    <row r="92" spans="1:12" ht="12.6" customHeight="1" x14ac:dyDescent="0.25">
      <c r="A92" s="56">
        <v>32</v>
      </c>
      <c r="B92" s="77" t="s">
        <v>729</v>
      </c>
      <c r="C92" s="59">
        <f>+C8+C16+C76</f>
        <v>66392.5</v>
      </c>
      <c r="D92" s="78"/>
      <c r="H92" s="58"/>
    </row>
    <row r="93" spans="1:12" ht="26.25" customHeight="1" x14ac:dyDescent="0.25">
      <c r="A93" s="56">
        <v>33</v>
      </c>
      <c r="B93" s="65" t="s">
        <v>730</v>
      </c>
      <c r="C93" s="57">
        <f>1221.2+380+820</f>
        <v>2421.1999999999998</v>
      </c>
      <c r="D93" s="45"/>
      <c r="E93" s="4"/>
      <c r="F93" s="79"/>
      <c r="G93" s="3"/>
      <c r="I93" s="80"/>
      <c r="J93" s="80"/>
      <c r="K93" s="80"/>
    </row>
    <row r="94" spans="1:12" ht="12.6" customHeight="1" x14ac:dyDescent="0.25">
      <c r="A94" s="56">
        <v>34</v>
      </c>
      <c r="B94" s="77" t="s">
        <v>731</v>
      </c>
      <c r="C94" s="59">
        <f>+C92+C93</f>
        <v>68813.7</v>
      </c>
      <c r="D94" s="81"/>
      <c r="E94" s="4"/>
      <c r="F94" s="4"/>
    </row>
    <row r="95" spans="1:12" ht="12.6" customHeight="1" x14ac:dyDescent="0.25">
      <c r="A95" s="56">
        <v>35</v>
      </c>
      <c r="B95" s="54" t="s">
        <v>732</v>
      </c>
      <c r="C95" s="59">
        <f>+C96+C98+C97+C99+C100+C101+C102+C103+C104</f>
        <v>4562.4999999999991</v>
      </c>
      <c r="D95" s="82"/>
      <c r="E95" s="4"/>
      <c r="F95" s="4"/>
    </row>
    <row r="96" spans="1:12" x14ac:dyDescent="0.25">
      <c r="A96" s="56">
        <v>36</v>
      </c>
      <c r="B96" s="62" t="s">
        <v>733</v>
      </c>
      <c r="C96" s="40">
        <f>2859.7-709-130+733.3+105.7</f>
        <v>2859.7</v>
      </c>
      <c r="D96" s="83"/>
      <c r="E96" s="4"/>
      <c r="F96" s="4"/>
    </row>
    <row r="97" spans="1:9" ht="12.6" customHeight="1" x14ac:dyDescent="0.25">
      <c r="A97" s="56">
        <v>37</v>
      </c>
      <c r="B97" s="62" t="s">
        <v>734</v>
      </c>
      <c r="C97" s="40">
        <v>46.3</v>
      </c>
      <c r="D97" s="84"/>
      <c r="E97" s="4"/>
      <c r="F97" s="4"/>
    </row>
    <row r="98" spans="1:9" ht="12.6" customHeight="1" x14ac:dyDescent="0.25">
      <c r="A98" s="56">
        <v>38</v>
      </c>
      <c r="B98" s="62" t="s">
        <v>735</v>
      </c>
      <c r="C98" s="40">
        <v>20.2</v>
      </c>
      <c r="D98" s="84"/>
      <c r="E98" s="4"/>
      <c r="F98" s="4"/>
    </row>
    <row r="99" spans="1:9" ht="12.6" customHeight="1" x14ac:dyDescent="0.25">
      <c r="A99" s="56">
        <v>39</v>
      </c>
      <c r="B99" s="66" t="s">
        <v>736</v>
      </c>
      <c r="C99" s="40">
        <v>95.7</v>
      </c>
      <c r="D99" s="84"/>
      <c r="E99" s="4"/>
      <c r="F99" s="4"/>
    </row>
    <row r="100" spans="1:9" ht="12.6" customHeight="1" x14ac:dyDescent="0.25">
      <c r="A100" s="56">
        <v>40</v>
      </c>
      <c r="B100" s="62" t="s">
        <v>737</v>
      </c>
      <c r="C100" s="40">
        <v>129.69999999999999</v>
      </c>
      <c r="D100" s="84"/>
      <c r="E100" s="4"/>
      <c r="F100" s="4"/>
    </row>
    <row r="101" spans="1:9" ht="12.6" customHeight="1" x14ac:dyDescent="0.25">
      <c r="A101" s="56">
        <v>41</v>
      </c>
      <c r="B101" s="62" t="s">
        <v>738</v>
      </c>
      <c r="C101" s="40">
        <v>110.8</v>
      </c>
      <c r="D101" s="84"/>
      <c r="E101" s="4"/>
      <c r="F101" s="4"/>
    </row>
    <row r="102" spans="1:9" ht="12" customHeight="1" x14ac:dyDescent="0.25">
      <c r="A102" s="56">
        <v>42</v>
      </c>
      <c r="B102" s="62" t="s">
        <v>739</v>
      </c>
      <c r="C102" s="40">
        <f>(76.6+26.2-8.6)+(250.1-60.1)+106.5-160</f>
        <v>230.7</v>
      </c>
      <c r="D102" s="84"/>
      <c r="E102" s="4"/>
      <c r="F102" s="4"/>
      <c r="I102" s="58"/>
    </row>
    <row r="103" spans="1:9" ht="26.4" x14ac:dyDescent="0.25">
      <c r="A103" s="56">
        <v>43</v>
      </c>
      <c r="B103" s="69" t="s">
        <v>635</v>
      </c>
      <c r="C103" s="40">
        <f>981.7</f>
        <v>981.7</v>
      </c>
      <c r="D103" s="84"/>
      <c r="E103" s="4"/>
      <c r="F103" s="4"/>
    </row>
    <row r="104" spans="1:9" ht="26.4" x14ac:dyDescent="0.25">
      <c r="A104" s="56">
        <v>44</v>
      </c>
      <c r="B104" s="69" t="s">
        <v>740</v>
      </c>
      <c r="C104" s="40">
        <f>0.7+87</f>
        <v>87.7</v>
      </c>
      <c r="D104" s="84"/>
      <c r="E104" s="4"/>
      <c r="F104" s="4"/>
    </row>
    <row r="105" spans="1:9" ht="12.6" customHeight="1" x14ac:dyDescent="0.25">
      <c r="A105" s="56" t="s">
        <v>764</v>
      </c>
      <c r="B105" s="85" t="s">
        <v>741</v>
      </c>
      <c r="C105" s="40">
        <v>0.7</v>
      </c>
      <c r="D105" s="84"/>
      <c r="E105" s="4"/>
      <c r="F105" s="4"/>
    </row>
    <row r="106" spans="1:9" x14ac:dyDescent="0.25">
      <c r="A106" s="62">
        <v>45</v>
      </c>
      <c r="B106" s="77" t="s">
        <v>742</v>
      </c>
      <c r="C106" s="86">
        <f>+C94+C95</f>
        <v>73376.2</v>
      </c>
      <c r="D106" s="87"/>
      <c r="G106" s="4"/>
      <c r="H106" s="63"/>
    </row>
    <row r="107" spans="1:9" x14ac:dyDescent="0.25">
      <c r="A107" s="49"/>
      <c r="B107" s="88"/>
      <c r="C107" s="89"/>
      <c r="D107" s="61"/>
    </row>
    <row r="108" spans="1:9" x14ac:dyDescent="0.25">
      <c r="B108" s="26" t="s">
        <v>811</v>
      </c>
      <c r="C108" s="58"/>
    </row>
    <row r="109" spans="1:9" x14ac:dyDescent="0.25">
      <c r="B109" s="26"/>
      <c r="C109" s="58"/>
    </row>
    <row r="110" spans="1:9" x14ac:dyDescent="0.25">
      <c r="B110" s="26"/>
      <c r="C110" s="63"/>
    </row>
    <row r="111" spans="1:9" x14ac:dyDescent="0.25">
      <c r="B111" s="26"/>
      <c r="C111" s="63"/>
    </row>
    <row r="112" spans="1:9" x14ac:dyDescent="0.25">
      <c r="C112" s="63"/>
    </row>
    <row r="113" spans="2:3" x14ac:dyDescent="0.25">
      <c r="C113" s="63"/>
    </row>
    <row r="114" spans="2:3" ht="15.6" x14ac:dyDescent="0.3">
      <c r="B114" s="90"/>
      <c r="C114" s="63"/>
    </row>
    <row r="115" spans="2:3" x14ac:dyDescent="0.25">
      <c r="B115" s="26"/>
      <c r="C115" s="58"/>
    </row>
    <row r="116" spans="2:3" x14ac:dyDescent="0.25">
      <c r="B116" s="91"/>
      <c r="C116" s="63"/>
    </row>
  </sheetData>
  <mergeCells count="3">
    <mergeCell ref="B1:C1"/>
    <mergeCell ref="B2:C2"/>
    <mergeCell ref="A3:C3"/>
  </mergeCells>
  <pageMargins left="0.51181102362204722" right="0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V334"/>
  <sheetViews>
    <sheetView workbookViewId="0">
      <selection activeCell="C2" sqref="C2:H2"/>
    </sheetView>
  </sheetViews>
  <sheetFormatPr defaultColWidth="9.109375" defaultRowHeight="13.2" x14ac:dyDescent="0.25"/>
  <cols>
    <col min="1" max="1" width="5.88671875" style="5" customWidth="1"/>
    <col min="2" max="2" width="5" style="6" customWidth="1"/>
    <col min="3" max="3" width="44.33203125" style="3" customWidth="1"/>
    <col min="4" max="4" width="10.6640625" style="7" customWidth="1"/>
    <col min="5" max="5" width="7.88671875" style="3" customWidth="1"/>
    <col min="6" max="6" width="8.33203125" style="3" customWidth="1"/>
    <col min="7" max="7" width="9.33203125" style="3" customWidth="1"/>
    <col min="8" max="8" width="7.6640625" style="3" customWidth="1"/>
    <col min="9" max="16384" width="9.109375" style="2"/>
  </cols>
  <sheetData>
    <row r="1" spans="1:19" ht="15.75" customHeight="1" x14ac:dyDescent="0.3">
      <c r="C1" s="172" t="s">
        <v>817</v>
      </c>
      <c r="D1" s="172"/>
      <c r="E1" s="172"/>
      <c r="F1" s="172"/>
      <c r="G1" s="172"/>
      <c r="H1" s="172"/>
    </row>
    <row r="2" spans="1:19" ht="15.6" x14ac:dyDescent="0.3">
      <c r="C2" s="172" t="s">
        <v>816</v>
      </c>
      <c r="D2" s="172"/>
      <c r="E2" s="172"/>
      <c r="F2" s="172"/>
      <c r="G2" s="172"/>
      <c r="H2" s="172"/>
    </row>
    <row r="3" spans="1:19" ht="14.25" customHeight="1" x14ac:dyDescent="0.25">
      <c r="B3" s="7"/>
      <c r="E3" s="173" t="s">
        <v>122</v>
      </c>
      <c r="F3" s="173"/>
      <c r="G3" s="173"/>
      <c r="H3" s="173"/>
    </row>
    <row r="4" spans="1:19" ht="15.6" x14ac:dyDescent="0.25">
      <c r="B4" s="7"/>
      <c r="E4" s="48"/>
      <c r="F4" s="48"/>
      <c r="G4" s="48"/>
      <c r="H4" s="48"/>
    </row>
    <row r="5" spans="1:19" ht="25.5" customHeight="1" x14ac:dyDescent="0.25">
      <c r="A5" s="174" t="s">
        <v>391</v>
      </c>
      <c r="B5" s="174"/>
      <c r="C5" s="174"/>
      <c r="D5" s="174"/>
      <c r="E5" s="174"/>
      <c r="F5" s="174"/>
      <c r="G5" s="174"/>
      <c r="H5" s="174"/>
    </row>
    <row r="6" spans="1:19" x14ac:dyDescent="0.25">
      <c r="A6" s="34"/>
      <c r="B6" s="34"/>
      <c r="C6" s="34"/>
      <c r="D6" s="34"/>
      <c r="E6" s="34"/>
      <c r="F6" s="34"/>
      <c r="G6" s="34"/>
      <c r="H6" s="34"/>
    </row>
    <row r="7" spans="1:19" x14ac:dyDescent="0.25">
      <c r="B7" s="7"/>
      <c r="E7" s="5"/>
      <c r="F7" s="5"/>
      <c r="G7" s="175" t="s">
        <v>140</v>
      </c>
      <c r="H7" s="175"/>
    </row>
    <row r="8" spans="1:19" ht="12.75" customHeight="1" x14ac:dyDescent="0.25">
      <c r="A8" s="179" t="s">
        <v>126</v>
      </c>
      <c r="B8" s="185" t="s">
        <v>59</v>
      </c>
      <c r="C8" s="179" t="s">
        <v>16</v>
      </c>
      <c r="D8" s="188" t="s">
        <v>60</v>
      </c>
      <c r="E8" s="179" t="s">
        <v>17</v>
      </c>
      <c r="F8" s="176" t="s">
        <v>18</v>
      </c>
      <c r="G8" s="177"/>
      <c r="H8" s="178"/>
    </row>
    <row r="9" spans="1:19" ht="12.75" customHeight="1" x14ac:dyDescent="0.25">
      <c r="A9" s="184"/>
      <c r="B9" s="186"/>
      <c r="C9" s="184"/>
      <c r="D9" s="189"/>
      <c r="E9" s="184"/>
      <c r="F9" s="176" t="s">
        <v>285</v>
      </c>
      <c r="G9" s="178"/>
      <c r="H9" s="179" t="s">
        <v>31</v>
      </c>
    </row>
    <row r="10" spans="1:19" ht="43.5" customHeight="1" x14ac:dyDescent="0.25">
      <c r="A10" s="180"/>
      <c r="B10" s="187"/>
      <c r="C10" s="180"/>
      <c r="D10" s="190"/>
      <c r="E10" s="180"/>
      <c r="F10" s="8" t="s">
        <v>32</v>
      </c>
      <c r="G10" s="28" t="s">
        <v>33</v>
      </c>
      <c r="H10" s="180"/>
    </row>
    <row r="11" spans="1:19" x14ac:dyDescent="0.25">
      <c r="A11" s="95">
        <v>1</v>
      </c>
      <c r="B11" s="11" t="s">
        <v>19</v>
      </c>
      <c r="C11" s="8">
        <v>3</v>
      </c>
      <c r="D11" s="9">
        <v>4</v>
      </c>
      <c r="E11" s="8">
        <v>5</v>
      </c>
      <c r="F11" s="8">
        <v>6</v>
      </c>
      <c r="G11" s="8">
        <v>7</v>
      </c>
      <c r="H11" s="8">
        <v>8</v>
      </c>
    </row>
    <row r="12" spans="1:19" ht="20.100000000000001" customHeight="1" x14ac:dyDescent="0.25">
      <c r="A12" s="12">
        <v>1</v>
      </c>
      <c r="B12" s="11" t="s">
        <v>61</v>
      </c>
      <c r="C12" s="13" t="s">
        <v>62</v>
      </c>
      <c r="D12" s="9"/>
      <c r="E12" s="96">
        <f>+F12+H12</f>
        <v>10647.1</v>
      </c>
      <c r="F12" s="96">
        <f>+F13+F14+F15+F16+F17+F18+F19+F20+F21+F22+F23+F24+F25+F26+F27+F28+F29+F30+F31+F32+F33+F34+F35+F36+F37+F38+F39+F40+F41+F42+F43</f>
        <v>10516.6</v>
      </c>
      <c r="G12" s="96">
        <f>+G13+G14+G15+G16+G17+G18+G19+G20+G21+G22+G23+G24+G25+G26+G27+G28+G29+G30+G31+G32+G33+G34+G35+G36+G37+G38+G39+G40+G41+G42+G43</f>
        <v>8374.1999999999989</v>
      </c>
      <c r="H12" s="96">
        <f>+H13+H14+H15+H16+H17+H18+H19+H20+H21+H22+H23+H24+H25+H26+H27+H28+H29+H30+H31+H32+H33+H34+H35+H36+H37+H38+H39+H40+H41+H42+H43</f>
        <v>130.5</v>
      </c>
      <c r="I12" s="4"/>
      <c r="J12" s="4"/>
      <c r="K12" s="4"/>
      <c r="L12" s="4"/>
      <c r="N12" s="44"/>
      <c r="Q12" s="44"/>
      <c r="R12" s="44"/>
      <c r="S12" s="44"/>
    </row>
    <row r="13" spans="1:19" ht="24.6" customHeight="1" x14ac:dyDescent="0.25">
      <c r="A13" s="12">
        <v>2</v>
      </c>
      <c r="B13" s="1"/>
      <c r="C13" s="23" t="s">
        <v>201</v>
      </c>
      <c r="D13" s="14" t="s">
        <v>127</v>
      </c>
      <c r="E13" s="47">
        <f>+F13+H13</f>
        <v>328.5</v>
      </c>
      <c r="F13" s="19">
        <f>295.6+3.9+16.9+12.1</f>
        <v>328.5</v>
      </c>
      <c r="G13" s="19">
        <f>255.8+16.6+4.2-1.3+11.9</f>
        <v>287.2</v>
      </c>
      <c r="H13" s="19"/>
      <c r="I13" s="4"/>
      <c r="J13" s="4"/>
      <c r="K13" s="4"/>
      <c r="L13" s="4"/>
      <c r="N13" s="44"/>
      <c r="Q13" s="44"/>
      <c r="R13" s="44"/>
      <c r="S13" s="44"/>
    </row>
    <row r="14" spans="1:19" ht="15" customHeight="1" x14ac:dyDescent="0.25">
      <c r="A14" s="12">
        <v>3</v>
      </c>
      <c r="B14" s="1"/>
      <c r="C14" s="23" t="s">
        <v>192</v>
      </c>
      <c r="D14" s="1" t="s">
        <v>63</v>
      </c>
      <c r="E14" s="47">
        <f t="shared" ref="E14:E39" si="0">+F14+H14</f>
        <v>357</v>
      </c>
      <c r="F14" s="19">
        <f>322.2+3.4+18.3+13.1</f>
        <v>357</v>
      </c>
      <c r="G14" s="19">
        <f>282.2+18+2.1</f>
        <v>302.3</v>
      </c>
      <c r="H14" s="19"/>
      <c r="I14" s="4"/>
      <c r="J14" s="4"/>
      <c r="K14" s="4"/>
      <c r="L14" s="4"/>
      <c r="N14" s="44"/>
      <c r="Q14" s="44"/>
      <c r="R14" s="44"/>
      <c r="S14" s="44"/>
    </row>
    <row r="15" spans="1:19" ht="15" customHeight="1" x14ac:dyDescent="0.25">
      <c r="A15" s="12">
        <v>4</v>
      </c>
      <c r="B15" s="1"/>
      <c r="C15" s="23" t="s">
        <v>193</v>
      </c>
      <c r="D15" s="1" t="s">
        <v>63</v>
      </c>
      <c r="E15" s="47">
        <f t="shared" si="0"/>
        <v>337.29999999999995</v>
      </c>
      <c r="F15" s="19">
        <f>302.9+4.1+17.2+12.4+0.7</f>
        <v>337.29999999999995</v>
      </c>
      <c r="G15" s="19">
        <f>261.2+16.9+8</f>
        <v>286.09999999999997</v>
      </c>
      <c r="H15" s="19"/>
      <c r="I15" s="4"/>
      <c r="J15" s="4"/>
      <c r="K15" s="4"/>
      <c r="L15" s="4"/>
      <c r="N15" s="44"/>
      <c r="Q15" s="44"/>
      <c r="R15" s="44"/>
      <c r="S15" s="44"/>
    </row>
    <row r="16" spans="1:19" ht="15" customHeight="1" x14ac:dyDescent="0.25">
      <c r="A16" s="12">
        <v>5</v>
      </c>
      <c r="B16" s="1"/>
      <c r="C16" s="23" t="s">
        <v>197</v>
      </c>
      <c r="D16" s="1" t="s">
        <v>63</v>
      </c>
      <c r="E16" s="47">
        <f t="shared" si="0"/>
        <v>344.3</v>
      </c>
      <c r="F16" s="19">
        <f>303.6+4.2+6.2+17.2+0.8+12.3</f>
        <v>344.3</v>
      </c>
      <c r="G16" s="19">
        <f>260.9+16.9-3.8+4</f>
        <v>277.99999999999994</v>
      </c>
      <c r="H16" s="19"/>
      <c r="I16" s="4"/>
      <c r="J16" s="4"/>
      <c r="K16" s="4"/>
      <c r="L16" s="4"/>
      <c r="N16" s="44"/>
      <c r="Q16" s="44"/>
      <c r="R16" s="44"/>
      <c r="S16" s="44"/>
    </row>
    <row r="17" spans="1:19" ht="15" customHeight="1" x14ac:dyDescent="0.25">
      <c r="A17" s="12">
        <v>6</v>
      </c>
      <c r="B17" s="1"/>
      <c r="C17" s="23" t="s">
        <v>194</v>
      </c>
      <c r="D17" s="1" t="s">
        <v>63</v>
      </c>
      <c r="E17" s="47">
        <f t="shared" si="0"/>
        <v>357</v>
      </c>
      <c r="F17" s="19">
        <f>304.3+4.5+17.2+0.6+10.4</f>
        <v>337</v>
      </c>
      <c r="G17" s="19">
        <f>261.9+16.9-2.9</f>
        <v>275.89999999999998</v>
      </c>
      <c r="H17" s="19">
        <f>18+2</f>
        <v>20</v>
      </c>
      <c r="I17" s="4"/>
      <c r="J17" s="4"/>
      <c r="K17" s="4"/>
      <c r="L17" s="4"/>
      <c r="N17" s="44"/>
      <c r="Q17" s="44"/>
      <c r="R17" s="44"/>
      <c r="S17" s="44"/>
    </row>
    <row r="18" spans="1:19" ht="15" customHeight="1" x14ac:dyDescent="0.25">
      <c r="A18" s="12">
        <v>7</v>
      </c>
      <c r="B18" s="1"/>
      <c r="C18" s="23" t="s">
        <v>195</v>
      </c>
      <c r="D18" s="1" t="s">
        <v>63</v>
      </c>
      <c r="E18" s="47">
        <f t="shared" si="0"/>
        <v>436.90000000000003</v>
      </c>
      <c r="F18" s="19">
        <f>390+5+22.8+2.8+16.3</f>
        <v>436.90000000000003</v>
      </c>
      <c r="G18" s="19">
        <f>345.1+22.3-4</f>
        <v>363.40000000000003</v>
      </c>
      <c r="H18" s="19"/>
      <c r="I18" s="4"/>
      <c r="J18" s="4"/>
      <c r="K18" s="4"/>
      <c r="L18" s="4"/>
      <c r="N18" s="44"/>
      <c r="Q18" s="44"/>
      <c r="R18" s="44"/>
      <c r="S18" s="44"/>
    </row>
    <row r="19" spans="1:19" ht="15" customHeight="1" x14ac:dyDescent="0.25">
      <c r="A19" s="12">
        <v>8</v>
      </c>
      <c r="B19" s="1"/>
      <c r="C19" s="23" t="s">
        <v>196</v>
      </c>
      <c r="D19" s="1" t="s">
        <v>63</v>
      </c>
      <c r="E19" s="47">
        <f t="shared" si="0"/>
        <v>378.40000000000003</v>
      </c>
      <c r="F19" s="19">
        <f>336.1+5.6+18.8+4.4+13.5</f>
        <v>378.40000000000003</v>
      </c>
      <c r="G19" s="19">
        <f>285.1+18.4+6.6</f>
        <v>310.10000000000002</v>
      </c>
      <c r="H19" s="19"/>
      <c r="I19" s="4"/>
      <c r="J19" s="4"/>
      <c r="K19" s="4"/>
      <c r="L19" s="4"/>
      <c r="N19" s="44"/>
      <c r="Q19" s="44"/>
      <c r="R19" s="44"/>
      <c r="S19" s="44"/>
    </row>
    <row r="20" spans="1:19" ht="15" customHeight="1" x14ac:dyDescent="0.25">
      <c r="A20" s="12">
        <v>9</v>
      </c>
      <c r="B20" s="1"/>
      <c r="C20" s="15" t="s">
        <v>250</v>
      </c>
      <c r="D20" s="1" t="s">
        <v>64</v>
      </c>
      <c r="E20" s="47">
        <f t="shared" si="0"/>
        <v>326.29999999999995</v>
      </c>
      <c r="F20" s="19">
        <f>291.7+3.9+1+16.5+1.4+11.8</f>
        <v>326.29999999999995</v>
      </c>
      <c r="G20" s="19">
        <f>249.4+16.2+5.6</f>
        <v>271.20000000000005</v>
      </c>
      <c r="H20" s="19"/>
      <c r="I20" s="4"/>
      <c r="J20" s="4"/>
      <c r="K20" s="4"/>
      <c r="L20" s="4"/>
      <c r="N20" s="44"/>
      <c r="Q20" s="44"/>
      <c r="R20" s="44"/>
      <c r="S20" s="44"/>
    </row>
    <row r="21" spans="1:19" ht="15" customHeight="1" x14ac:dyDescent="0.25">
      <c r="A21" s="12">
        <v>10</v>
      </c>
      <c r="B21" s="1"/>
      <c r="C21" s="23" t="s">
        <v>200</v>
      </c>
      <c r="D21" s="1" t="s">
        <v>65</v>
      </c>
      <c r="E21" s="47">
        <f>+F21+H21</f>
        <v>330.3</v>
      </c>
      <c r="F21" s="19">
        <f>297+6+15.2-6+1.3+10.8</f>
        <v>324.3</v>
      </c>
      <c r="G21" s="19">
        <f>229.4+14.9+1.3+10.6</f>
        <v>256.20000000000005</v>
      </c>
      <c r="H21" s="19">
        <v>6</v>
      </c>
      <c r="I21" s="4"/>
      <c r="J21" s="4"/>
      <c r="K21" s="4"/>
      <c r="L21" s="4"/>
      <c r="N21" s="44"/>
      <c r="Q21" s="44"/>
      <c r="R21" s="44"/>
      <c r="S21" s="44"/>
    </row>
    <row r="22" spans="1:19" ht="25.95" customHeight="1" x14ac:dyDescent="0.25">
      <c r="A22" s="12">
        <v>11</v>
      </c>
      <c r="B22" s="1"/>
      <c r="C22" s="23" t="s">
        <v>50</v>
      </c>
      <c r="D22" s="14" t="s">
        <v>128</v>
      </c>
      <c r="E22" s="47">
        <f t="shared" si="0"/>
        <v>298.40000000000003</v>
      </c>
      <c r="F22" s="19">
        <f>275.3+4.2+11.1-1.7+7.8</f>
        <v>296.70000000000005</v>
      </c>
      <c r="G22" s="19">
        <f>195+11.1+7</f>
        <v>213.1</v>
      </c>
      <c r="H22" s="19">
        <v>1.7</v>
      </c>
      <c r="I22" s="4"/>
      <c r="J22" s="4"/>
      <c r="K22" s="4"/>
      <c r="L22" s="4"/>
      <c r="N22" s="44"/>
      <c r="Q22" s="44"/>
      <c r="R22" s="44"/>
      <c r="S22" s="44"/>
    </row>
    <row r="23" spans="1:19" ht="15" customHeight="1" x14ac:dyDescent="0.25">
      <c r="A23" s="12">
        <v>12</v>
      </c>
      <c r="B23" s="1"/>
      <c r="C23" s="15" t="s">
        <v>146</v>
      </c>
      <c r="D23" s="1" t="s">
        <v>65</v>
      </c>
      <c r="E23" s="47">
        <f t="shared" si="0"/>
        <v>683.3</v>
      </c>
      <c r="F23" s="19">
        <f>614.1+9.2+33.1-3.6+3.3+22.8</f>
        <v>678.9</v>
      </c>
      <c r="G23" s="19">
        <f>505.7+32.4+19.1</f>
        <v>557.20000000000005</v>
      </c>
      <c r="H23" s="19">
        <f>3.6+0.8</f>
        <v>4.4000000000000004</v>
      </c>
      <c r="I23" s="4"/>
      <c r="J23" s="4"/>
      <c r="K23" s="4"/>
      <c r="L23" s="4"/>
      <c r="N23" s="44"/>
      <c r="Q23" s="44"/>
      <c r="R23" s="44"/>
      <c r="S23" s="44"/>
    </row>
    <row r="24" spans="1:19" ht="15" customHeight="1" x14ac:dyDescent="0.25">
      <c r="A24" s="12">
        <v>13</v>
      </c>
      <c r="B24" s="1"/>
      <c r="C24" s="15" t="s">
        <v>147</v>
      </c>
      <c r="D24" s="1" t="s">
        <v>65</v>
      </c>
      <c r="E24" s="47">
        <f t="shared" si="0"/>
        <v>313.09999999999997</v>
      </c>
      <c r="F24" s="19">
        <f>279.3+4.2+3.9+2+12.7+2+9</f>
        <v>313.09999999999997</v>
      </c>
      <c r="G24" s="19">
        <f>214.4+3.8+12.4+5.5+9</f>
        <v>245.10000000000002</v>
      </c>
      <c r="H24" s="19"/>
      <c r="I24" s="4"/>
      <c r="J24" s="4"/>
      <c r="K24" s="4"/>
      <c r="L24" s="4"/>
      <c r="N24" s="44"/>
      <c r="Q24" s="44"/>
      <c r="R24" s="44"/>
      <c r="S24" s="44"/>
    </row>
    <row r="25" spans="1:19" ht="15" customHeight="1" x14ac:dyDescent="0.25">
      <c r="A25" s="12">
        <v>14</v>
      </c>
      <c r="B25" s="1"/>
      <c r="C25" s="15" t="s">
        <v>44</v>
      </c>
      <c r="D25" s="1" t="s">
        <v>65</v>
      </c>
      <c r="E25" s="47">
        <f t="shared" si="0"/>
        <v>683.90000000000009</v>
      </c>
      <c r="F25" s="19">
        <f>616.2+8.2+32.2+0.6+3.8+16.9</f>
        <v>677.90000000000009</v>
      </c>
      <c r="G25" s="19">
        <f>499.7+31.5+12</f>
        <v>543.20000000000005</v>
      </c>
      <c r="H25" s="19">
        <v>6</v>
      </c>
      <c r="I25" s="4"/>
      <c r="J25" s="97"/>
      <c r="K25" s="4"/>
      <c r="L25" s="4"/>
      <c r="N25" s="44"/>
      <c r="Q25" s="44"/>
      <c r="R25" s="44"/>
      <c r="S25" s="44"/>
    </row>
    <row r="26" spans="1:19" ht="15" customHeight="1" x14ac:dyDescent="0.25">
      <c r="A26" s="12">
        <v>15</v>
      </c>
      <c r="B26" s="1"/>
      <c r="C26" s="23" t="s">
        <v>150</v>
      </c>
      <c r="D26" s="1" t="s">
        <v>65</v>
      </c>
      <c r="E26" s="47">
        <f>+F26+H26</f>
        <v>372.89999999999992</v>
      </c>
      <c r="F26" s="19">
        <f>337.9+8.8+14.4-9.1+2+10.2</f>
        <v>364.19999999999993</v>
      </c>
      <c r="G26" s="19">
        <f>235.4+14.1+4.3+10.1</f>
        <v>263.90000000000003</v>
      </c>
      <c r="H26" s="19">
        <f>9.1-0.4</f>
        <v>8.6999999999999993</v>
      </c>
      <c r="I26" s="4"/>
      <c r="J26" s="97"/>
      <c r="K26" s="4"/>
      <c r="L26" s="4"/>
      <c r="N26" s="44"/>
      <c r="Q26" s="44"/>
      <c r="R26" s="44"/>
      <c r="S26" s="44"/>
    </row>
    <row r="27" spans="1:19" ht="27" customHeight="1" x14ac:dyDescent="0.25">
      <c r="A27" s="12">
        <v>16</v>
      </c>
      <c r="B27" s="1"/>
      <c r="C27" s="15" t="s">
        <v>198</v>
      </c>
      <c r="D27" s="1" t="s">
        <v>66</v>
      </c>
      <c r="E27" s="47">
        <f t="shared" si="0"/>
        <v>502.7</v>
      </c>
      <c r="F27" s="19">
        <f>449+12.9+21+4.8+15</f>
        <v>502.7</v>
      </c>
      <c r="G27" s="19">
        <f>317.6+20.6+13.7</f>
        <v>351.90000000000003</v>
      </c>
      <c r="H27" s="19"/>
      <c r="I27" s="4"/>
      <c r="J27" s="4"/>
      <c r="K27" s="4"/>
      <c r="L27" s="4"/>
      <c r="N27" s="44"/>
      <c r="Q27" s="44"/>
      <c r="R27" s="44"/>
      <c r="S27" s="44"/>
    </row>
    <row r="28" spans="1:19" ht="15" customHeight="1" x14ac:dyDescent="0.25">
      <c r="A28" s="12">
        <v>17</v>
      </c>
      <c r="B28" s="1"/>
      <c r="C28" s="23" t="s">
        <v>199</v>
      </c>
      <c r="D28" s="1" t="s">
        <v>66</v>
      </c>
      <c r="E28" s="47">
        <f t="shared" si="0"/>
        <v>345.40000000000003</v>
      </c>
      <c r="F28" s="19">
        <f>313+5.8+15.5+11.1</f>
        <v>345.40000000000003</v>
      </c>
      <c r="G28" s="19">
        <f>234.5+15.2+5</f>
        <v>254.7</v>
      </c>
      <c r="H28" s="19"/>
      <c r="I28" s="4"/>
      <c r="J28" s="4"/>
      <c r="K28" s="4"/>
      <c r="L28" s="4"/>
      <c r="N28" s="44"/>
      <c r="Q28" s="44"/>
      <c r="R28" s="44"/>
      <c r="S28" s="44"/>
    </row>
    <row r="29" spans="1:19" ht="15" customHeight="1" x14ac:dyDescent="0.25">
      <c r="A29" s="12">
        <v>18</v>
      </c>
      <c r="B29" s="1"/>
      <c r="C29" s="15" t="s">
        <v>129</v>
      </c>
      <c r="D29" s="1" t="s">
        <v>66</v>
      </c>
      <c r="E29" s="47">
        <f t="shared" si="0"/>
        <v>333.39999999999992</v>
      </c>
      <c r="F29" s="19">
        <f>296.7+8.9+14.7+2.7+10.4</f>
        <v>333.39999999999992</v>
      </c>
      <c r="G29" s="19">
        <f>220.8+14.4+2+10.2</f>
        <v>247.4</v>
      </c>
      <c r="H29" s="19"/>
      <c r="I29" s="4"/>
      <c r="J29" s="98"/>
      <c r="K29" s="4"/>
      <c r="L29" s="4"/>
      <c r="N29" s="44"/>
      <c r="Q29" s="44"/>
      <c r="R29" s="44"/>
      <c r="S29" s="44"/>
    </row>
    <row r="30" spans="1:19" ht="15" customHeight="1" x14ac:dyDescent="0.25">
      <c r="A30" s="12">
        <v>19</v>
      </c>
      <c r="B30" s="1"/>
      <c r="C30" s="15" t="s">
        <v>45</v>
      </c>
      <c r="D30" s="1" t="s">
        <v>66</v>
      </c>
      <c r="E30" s="47">
        <f t="shared" si="0"/>
        <v>210.8</v>
      </c>
      <c r="F30" s="19">
        <f>186.9+3.9+9.9+3.1+7</f>
        <v>210.8</v>
      </c>
      <c r="G30" s="19">
        <f>148.9+9.6+10.4+6.9</f>
        <v>175.8</v>
      </c>
      <c r="H30" s="19"/>
      <c r="I30" s="4"/>
      <c r="J30" s="4"/>
      <c r="K30" s="4"/>
      <c r="L30" s="4"/>
      <c r="N30" s="44"/>
      <c r="Q30" s="44"/>
      <c r="R30" s="44"/>
      <c r="S30" s="44"/>
    </row>
    <row r="31" spans="1:19" ht="15" customHeight="1" x14ac:dyDescent="0.25">
      <c r="A31" s="12">
        <v>20</v>
      </c>
      <c r="B31" s="1"/>
      <c r="C31" s="15" t="s">
        <v>148</v>
      </c>
      <c r="D31" s="1" t="s">
        <v>66</v>
      </c>
      <c r="E31" s="47">
        <f t="shared" si="0"/>
        <v>608</v>
      </c>
      <c r="F31" s="19">
        <f>544.7+16.8+26.5+1.2+18.8</f>
        <v>608</v>
      </c>
      <c r="G31" s="19">
        <f>423.8+26+18.5</f>
        <v>468.3</v>
      </c>
      <c r="H31" s="19"/>
      <c r="I31" s="4"/>
      <c r="J31" s="4"/>
      <c r="K31" s="4"/>
      <c r="L31" s="4"/>
      <c r="N31" s="44"/>
      <c r="Q31" s="44"/>
      <c r="R31" s="44"/>
      <c r="S31" s="44"/>
    </row>
    <row r="32" spans="1:19" ht="15" customHeight="1" x14ac:dyDescent="0.25">
      <c r="A32" s="12">
        <v>21</v>
      </c>
      <c r="B32" s="1"/>
      <c r="C32" s="15" t="s">
        <v>172</v>
      </c>
      <c r="D32" s="1" t="s">
        <v>66</v>
      </c>
      <c r="E32" s="47">
        <f t="shared" si="0"/>
        <v>137.69999999999999</v>
      </c>
      <c r="F32" s="19">
        <f>124.6+2.3+6.3+4.5</f>
        <v>137.69999999999999</v>
      </c>
      <c r="G32" s="19">
        <f>94.9+6.2+2.4+4.5</f>
        <v>108.00000000000001</v>
      </c>
      <c r="H32" s="19"/>
      <c r="I32" s="4"/>
      <c r="J32" s="4"/>
      <c r="K32" s="4"/>
      <c r="L32" s="4"/>
      <c r="N32" s="44"/>
      <c r="Q32" s="44"/>
      <c r="R32" s="44"/>
      <c r="S32" s="44"/>
    </row>
    <row r="33" spans="1:19" ht="26.4" x14ac:dyDescent="0.25">
      <c r="A33" s="12">
        <v>22</v>
      </c>
      <c r="B33" s="1"/>
      <c r="C33" s="15" t="s">
        <v>46</v>
      </c>
      <c r="D33" s="1" t="s">
        <v>66</v>
      </c>
      <c r="E33" s="47">
        <f t="shared" si="0"/>
        <v>185.3</v>
      </c>
      <c r="F33" s="19">
        <f>167.3+2.6+9+6.4</f>
        <v>185.3</v>
      </c>
      <c r="G33" s="19">
        <f>135.8+8.8+6.4+6.4</f>
        <v>157.40000000000003</v>
      </c>
      <c r="H33" s="19"/>
      <c r="I33" s="4"/>
      <c r="J33" s="4"/>
      <c r="K33" s="4"/>
      <c r="L33" s="4"/>
      <c r="N33" s="44"/>
      <c r="Q33" s="44"/>
      <c r="R33" s="44"/>
      <c r="S33" s="44"/>
    </row>
    <row r="34" spans="1:19" ht="15" customHeight="1" x14ac:dyDescent="0.25">
      <c r="A34" s="12">
        <v>23</v>
      </c>
      <c r="B34" s="1"/>
      <c r="C34" s="15" t="s">
        <v>149</v>
      </c>
      <c r="D34" s="1" t="s">
        <v>66</v>
      </c>
      <c r="E34" s="47">
        <f t="shared" si="0"/>
        <v>172.30000000000004</v>
      </c>
      <c r="F34" s="19">
        <f>156.8+2.9+7.3-1.9+5.3</f>
        <v>170.40000000000003</v>
      </c>
      <c r="G34" s="19">
        <f>120.2+7.2+5.2</f>
        <v>132.6</v>
      </c>
      <c r="H34" s="19">
        <v>1.9</v>
      </c>
      <c r="I34" s="4"/>
      <c r="J34" s="4"/>
      <c r="K34" s="4"/>
      <c r="L34" s="4"/>
      <c r="N34" s="44"/>
      <c r="Q34" s="44"/>
      <c r="R34" s="44"/>
      <c r="S34" s="44"/>
    </row>
    <row r="35" spans="1:19" ht="52.8" x14ac:dyDescent="0.25">
      <c r="A35" s="12">
        <v>24</v>
      </c>
      <c r="B35" s="1"/>
      <c r="C35" s="15" t="s">
        <v>118</v>
      </c>
      <c r="D35" s="14" t="s">
        <v>786</v>
      </c>
      <c r="E35" s="47">
        <f t="shared" si="0"/>
        <v>389.49999999999994</v>
      </c>
      <c r="F35" s="19">
        <f>332.8+13.4+16.6+5-2.1-0.1+9.9+11.8</f>
        <v>387.29999999999995</v>
      </c>
      <c r="G35" s="19">
        <f>253.2+16.3+1.8+8.2</f>
        <v>279.5</v>
      </c>
      <c r="H35" s="19">
        <f>2.1+0.1</f>
        <v>2.2000000000000002</v>
      </c>
      <c r="I35" s="4"/>
      <c r="J35" s="4"/>
      <c r="K35" s="4"/>
      <c r="L35" s="4"/>
      <c r="N35" s="44"/>
      <c r="Q35" s="44"/>
      <c r="R35" s="44"/>
      <c r="S35" s="44"/>
    </row>
    <row r="36" spans="1:19" x14ac:dyDescent="0.25">
      <c r="A36" s="12">
        <v>25</v>
      </c>
      <c r="B36" s="1"/>
      <c r="C36" s="21" t="s">
        <v>799</v>
      </c>
      <c r="D36" s="14" t="s">
        <v>66</v>
      </c>
      <c r="E36" s="47">
        <f t="shared" si="0"/>
        <v>16.3</v>
      </c>
      <c r="F36" s="19">
        <f>1.5+14.8</f>
        <v>16.3</v>
      </c>
      <c r="G36" s="19"/>
      <c r="H36" s="19"/>
      <c r="I36" s="4"/>
      <c r="J36" s="4"/>
      <c r="K36" s="4"/>
      <c r="L36" s="4"/>
      <c r="N36" s="44"/>
      <c r="Q36" s="44"/>
      <c r="R36" s="44"/>
      <c r="S36" s="44"/>
    </row>
    <row r="37" spans="1:19" ht="15" customHeight="1" x14ac:dyDescent="0.25">
      <c r="A37" s="12">
        <v>26</v>
      </c>
      <c r="B37" s="1"/>
      <c r="C37" s="23" t="s">
        <v>58</v>
      </c>
      <c r="D37" s="1" t="s">
        <v>67</v>
      </c>
      <c r="E37" s="47">
        <f t="shared" si="0"/>
        <v>246.7</v>
      </c>
      <c r="F37" s="19">
        <f>222.2+16.4+8.1</f>
        <v>246.7</v>
      </c>
      <c r="G37" s="19">
        <f>216.9+16.2+0.6+8.1</f>
        <v>241.79999999999998</v>
      </c>
      <c r="H37" s="19"/>
      <c r="I37" s="4"/>
      <c r="J37" s="4"/>
      <c r="K37" s="4"/>
      <c r="L37" s="4"/>
      <c r="N37" s="44"/>
      <c r="Q37" s="44"/>
      <c r="R37" s="44"/>
      <c r="S37" s="44"/>
    </row>
    <row r="38" spans="1:19" ht="15" customHeight="1" x14ac:dyDescent="0.25">
      <c r="A38" s="12">
        <v>27</v>
      </c>
      <c r="B38" s="1"/>
      <c r="C38" s="23" t="s">
        <v>51</v>
      </c>
      <c r="D38" s="1" t="s">
        <v>67</v>
      </c>
      <c r="E38" s="47">
        <f t="shared" si="0"/>
        <v>282.40000000000003</v>
      </c>
      <c r="F38" s="19">
        <f>262.8+19.6</f>
        <v>282.40000000000003</v>
      </c>
      <c r="G38" s="19">
        <f>257.7+19.3-3.1</f>
        <v>273.89999999999998</v>
      </c>
      <c r="H38" s="99"/>
      <c r="I38" s="4"/>
      <c r="J38" s="4"/>
      <c r="K38" s="4"/>
      <c r="L38" s="4"/>
      <c r="N38" s="44"/>
      <c r="Q38" s="44"/>
      <c r="R38" s="44"/>
      <c r="S38" s="44"/>
    </row>
    <row r="39" spans="1:19" ht="15" customHeight="1" x14ac:dyDescent="0.25">
      <c r="A39" s="12">
        <v>28</v>
      </c>
      <c r="B39" s="1"/>
      <c r="C39" s="23" t="s">
        <v>52</v>
      </c>
      <c r="D39" s="1" t="s">
        <v>67</v>
      </c>
      <c r="E39" s="47">
        <f t="shared" si="0"/>
        <v>797.09999999999991</v>
      </c>
      <c r="F39" s="19">
        <f>716.4+53.3+1.3+26.1</f>
        <v>797.09999999999991</v>
      </c>
      <c r="G39" s="19">
        <f>701.2+52.5+1.3+24.3</f>
        <v>779.3</v>
      </c>
      <c r="H39" s="19"/>
      <c r="I39" s="4"/>
      <c r="J39" s="4"/>
      <c r="K39" s="4"/>
      <c r="L39" s="4"/>
      <c r="N39" s="44"/>
      <c r="Q39" s="44"/>
      <c r="R39" s="44"/>
      <c r="S39" s="44"/>
    </row>
    <row r="40" spans="1:19" ht="39.6" x14ac:dyDescent="0.25">
      <c r="A40" s="12">
        <v>29</v>
      </c>
      <c r="B40" s="1"/>
      <c r="C40" s="23" t="s">
        <v>145</v>
      </c>
      <c r="D40" s="14" t="s">
        <v>174</v>
      </c>
      <c r="E40" s="47">
        <f>+F40+H40</f>
        <v>119.7</v>
      </c>
      <c r="F40" s="19">
        <f>110.4+0.7+6.1-5+7.5</f>
        <v>119.7</v>
      </c>
      <c r="G40" s="19">
        <f>91.1+6+1.8+7.5</f>
        <v>106.39999999999999</v>
      </c>
      <c r="H40" s="19"/>
      <c r="I40" s="4"/>
      <c r="J40" s="4"/>
      <c r="K40" s="4"/>
      <c r="L40" s="4"/>
      <c r="N40" s="44"/>
      <c r="Q40" s="44"/>
      <c r="R40" s="44"/>
      <c r="S40" s="44"/>
    </row>
    <row r="41" spans="1:19" ht="15" customHeight="1" x14ac:dyDescent="0.25">
      <c r="A41" s="12">
        <v>30</v>
      </c>
      <c r="B41" s="1"/>
      <c r="C41" s="100" t="s">
        <v>15</v>
      </c>
      <c r="D41" s="1" t="s">
        <v>63</v>
      </c>
      <c r="E41" s="47">
        <f>+F41+H41</f>
        <v>125.2</v>
      </c>
      <c r="F41" s="19">
        <f>116.7+2.3+0.7+5.5</f>
        <v>125.2</v>
      </c>
      <c r="G41" s="19">
        <f>95.6+2.2-3.4+0.7+5.5</f>
        <v>100.6</v>
      </c>
      <c r="H41" s="19"/>
      <c r="I41" s="4"/>
      <c r="J41" s="4"/>
      <c r="K41" s="4"/>
      <c r="L41" s="4"/>
      <c r="N41" s="44"/>
      <c r="Q41" s="44"/>
      <c r="R41" s="44"/>
      <c r="S41" s="44"/>
    </row>
    <row r="42" spans="1:19" ht="15" customHeight="1" x14ac:dyDescent="0.25">
      <c r="A42" s="12">
        <v>31</v>
      </c>
      <c r="B42" s="1"/>
      <c r="C42" s="100" t="s">
        <v>20</v>
      </c>
      <c r="D42" s="1" t="s">
        <v>63</v>
      </c>
      <c r="E42" s="47">
        <f>+F42+H42</f>
        <v>128.6</v>
      </c>
      <c r="F42" s="19">
        <f>112+1.1+8.6+6.2+0.7</f>
        <v>128.6</v>
      </c>
      <c r="G42" s="19">
        <f>91.6+8.4+1+6.1</f>
        <v>107.1</v>
      </c>
      <c r="H42" s="19"/>
      <c r="I42" s="4"/>
      <c r="J42" s="4"/>
      <c r="K42" s="4"/>
      <c r="L42" s="4"/>
      <c r="N42" s="44"/>
      <c r="O42" s="44"/>
      <c r="P42" s="44"/>
      <c r="Q42" s="44"/>
    </row>
    <row r="43" spans="1:19" ht="15" customHeight="1" x14ac:dyDescent="0.25">
      <c r="A43" s="12">
        <v>32</v>
      </c>
      <c r="B43" s="1"/>
      <c r="C43" s="16" t="s">
        <v>211</v>
      </c>
      <c r="D43" s="1"/>
      <c r="E43" s="47">
        <f>+F43+H43</f>
        <v>498.4</v>
      </c>
      <c r="F43" s="47">
        <f>+F44+F45+F46+F47+F48</f>
        <v>418.79999999999995</v>
      </c>
      <c r="G43" s="47">
        <f>+G44+G46+G47+G48</f>
        <v>136.6</v>
      </c>
      <c r="H43" s="47">
        <f>+H44+H46+H47+H48</f>
        <v>79.599999999999994</v>
      </c>
      <c r="I43" s="4"/>
      <c r="J43" s="4"/>
      <c r="K43" s="4"/>
      <c r="L43" s="4"/>
      <c r="N43" s="44"/>
      <c r="O43" s="44"/>
      <c r="P43" s="44"/>
      <c r="Q43" s="44"/>
    </row>
    <row r="44" spans="1:19" ht="15" customHeight="1" x14ac:dyDescent="0.25">
      <c r="A44" s="37" t="s">
        <v>440</v>
      </c>
      <c r="B44" s="1"/>
      <c r="C44" s="23" t="s">
        <v>3</v>
      </c>
      <c r="D44" s="14" t="s">
        <v>152</v>
      </c>
      <c r="E44" s="47">
        <f t="shared" ref="E44:E55" si="1">+F44+H44</f>
        <v>145.69999999999999</v>
      </c>
      <c r="F44" s="47">
        <f>123.3+22.4</f>
        <v>145.69999999999999</v>
      </c>
      <c r="G44" s="47">
        <f>114.4+22.2</f>
        <v>136.6</v>
      </c>
      <c r="H44" s="47"/>
      <c r="I44" s="4"/>
      <c r="J44" s="4"/>
      <c r="K44" s="4"/>
      <c r="L44" s="4"/>
      <c r="N44" s="44"/>
      <c r="O44" s="44"/>
      <c r="P44" s="44"/>
      <c r="Q44" s="44"/>
    </row>
    <row r="45" spans="1:19" ht="26.4" x14ac:dyDescent="0.25">
      <c r="A45" s="37" t="s">
        <v>441</v>
      </c>
      <c r="B45" s="1"/>
      <c r="C45" s="15" t="s">
        <v>252</v>
      </c>
      <c r="D45" s="14" t="s">
        <v>189</v>
      </c>
      <c r="E45" s="47">
        <f t="shared" si="1"/>
        <v>50</v>
      </c>
      <c r="F45" s="47">
        <v>50</v>
      </c>
      <c r="G45" s="19"/>
      <c r="H45" s="19"/>
      <c r="I45" s="4"/>
      <c r="J45" s="4"/>
      <c r="K45" s="4"/>
      <c r="L45" s="4"/>
      <c r="N45" s="44"/>
      <c r="O45" s="44"/>
      <c r="P45" s="44"/>
      <c r="Q45" s="44"/>
    </row>
    <row r="46" spans="1:19" ht="26.4" x14ac:dyDescent="0.25">
      <c r="A46" s="37" t="s">
        <v>442</v>
      </c>
      <c r="B46" s="1"/>
      <c r="C46" s="101" t="s">
        <v>402</v>
      </c>
      <c r="D46" s="1" t="s">
        <v>68</v>
      </c>
      <c r="E46" s="47">
        <f t="shared" si="1"/>
        <v>25</v>
      </c>
      <c r="F46" s="47">
        <v>25</v>
      </c>
      <c r="G46" s="19"/>
      <c r="H46" s="19"/>
      <c r="I46" s="4"/>
      <c r="J46" s="4"/>
      <c r="K46" s="4"/>
      <c r="L46" s="4"/>
      <c r="N46" s="44"/>
      <c r="O46" s="44"/>
      <c r="P46" s="44"/>
      <c r="Q46" s="44"/>
    </row>
    <row r="47" spans="1:19" ht="15" customHeight="1" x14ac:dyDescent="0.25">
      <c r="A47" s="37" t="s">
        <v>443</v>
      </c>
      <c r="B47" s="1"/>
      <c r="C47" s="101" t="s">
        <v>213</v>
      </c>
      <c r="D47" s="1" t="s">
        <v>69</v>
      </c>
      <c r="E47" s="47">
        <f t="shared" si="1"/>
        <v>14</v>
      </c>
      <c r="F47" s="47">
        <v>14</v>
      </c>
      <c r="G47" s="19"/>
      <c r="H47" s="19"/>
      <c r="I47" s="4"/>
      <c r="J47" s="4"/>
      <c r="K47" s="4"/>
      <c r="L47" s="4"/>
      <c r="N47" s="44"/>
      <c r="O47" s="44"/>
      <c r="P47" s="44"/>
      <c r="Q47" s="44"/>
    </row>
    <row r="48" spans="1:19" ht="39" customHeight="1" x14ac:dyDescent="0.25">
      <c r="A48" s="37" t="s">
        <v>444</v>
      </c>
      <c r="B48" s="1"/>
      <c r="C48" s="102" t="s">
        <v>392</v>
      </c>
      <c r="D48" s="1"/>
      <c r="E48" s="103">
        <f>+F48+H48</f>
        <v>263.7</v>
      </c>
      <c r="F48" s="59">
        <f>+F49+F50+F51+F52+F53+F54+F55</f>
        <v>184.1</v>
      </c>
      <c r="G48" s="59">
        <f>+G49+G50+G51+G52+G53+G54+G55</f>
        <v>0</v>
      </c>
      <c r="H48" s="59">
        <f>+H49+H50+H51+H52+H53+H54+H55</f>
        <v>79.599999999999994</v>
      </c>
      <c r="I48" s="4"/>
      <c r="J48" s="4"/>
      <c r="K48" s="4"/>
      <c r="L48" s="4"/>
      <c r="N48" s="44"/>
      <c r="O48" s="44"/>
      <c r="P48" s="44"/>
      <c r="Q48" s="44"/>
    </row>
    <row r="49" spans="1:17" ht="37.950000000000003" customHeight="1" x14ac:dyDescent="0.25">
      <c r="A49" s="37" t="s">
        <v>445</v>
      </c>
      <c r="B49" s="1"/>
      <c r="C49" s="104" t="s">
        <v>175</v>
      </c>
      <c r="D49" s="1" t="s">
        <v>66</v>
      </c>
      <c r="E49" s="47">
        <f t="shared" si="1"/>
        <v>28.6</v>
      </c>
      <c r="F49" s="47">
        <v>0.7</v>
      </c>
      <c r="G49" s="19"/>
      <c r="H49" s="19">
        <f>11.4+7.2-0.7+10</f>
        <v>27.900000000000002</v>
      </c>
      <c r="I49" s="4"/>
      <c r="J49" s="4"/>
      <c r="K49" s="4"/>
      <c r="L49" s="4"/>
      <c r="N49" s="44"/>
      <c r="O49" s="105"/>
      <c r="P49" s="44"/>
      <c r="Q49" s="44"/>
    </row>
    <row r="50" spans="1:17" ht="26.4" x14ac:dyDescent="0.25">
      <c r="A50" s="37" t="s">
        <v>446</v>
      </c>
      <c r="B50" s="1"/>
      <c r="C50" s="32" t="s">
        <v>224</v>
      </c>
      <c r="D50" s="1" t="s">
        <v>63</v>
      </c>
      <c r="E50" s="47">
        <f>+F50+H50</f>
        <v>7.7</v>
      </c>
      <c r="F50" s="47">
        <v>0.5</v>
      </c>
      <c r="G50" s="19"/>
      <c r="H50" s="19">
        <v>7.2</v>
      </c>
      <c r="I50" s="4"/>
      <c r="J50" s="4"/>
      <c r="K50" s="4"/>
      <c r="L50" s="4"/>
      <c r="N50" s="44"/>
      <c r="O50" s="44"/>
      <c r="P50" s="44"/>
      <c r="Q50" s="44"/>
    </row>
    <row r="51" spans="1:17" ht="26.4" x14ac:dyDescent="0.25">
      <c r="A51" s="37" t="s">
        <v>447</v>
      </c>
      <c r="B51" s="1"/>
      <c r="C51" s="38" t="s">
        <v>225</v>
      </c>
      <c r="D51" s="1" t="s">
        <v>63</v>
      </c>
      <c r="E51" s="47">
        <f>+F51+H51</f>
        <v>15.4</v>
      </c>
      <c r="F51" s="47">
        <v>0.9</v>
      </c>
      <c r="G51" s="19"/>
      <c r="H51" s="19">
        <v>14.5</v>
      </c>
      <c r="I51" s="4"/>
      <c r="J51" s="4"/>
      <c r="K51" s="4"/>
      <c r="L51" s="4"/>
      <c r="N51" s="44"/>
      <c r="O51" s="44"/>
      <c r="P51" s="44"/>
      <c r="Q51" s="44"/>
    </row>
    <row r="52" spans="1:17" ht="26.4" x14ac:dyDescent="0.25">
      <c r="A52" s="37" t="s">
        <v>448</v>
      </c>
      <c r="B52" s="1"/>
      <c r="C52" s="38" t="s">
        <v>411</v>
      </c>
      <c r="D52" s="14" t="s">
        <v>189</v>
      </c>
      <c r="E52" s="47">
        <f t="shared" si="1"/>
        <v>50</v>
      </c>
      <c r="F52" s="47">
        <v>50</v>
      </c>
      <c r="G52" s="19"/>
      <c r="H52" s="19"/>
      <c r="I52" s="4"/>
      <c r="J52" s="4"/>
      <c r="K52" s="4"/>
      <c r="L52" s="4"/>
      <c r="N52" s="44"/>
      <c r="O52" s="44"/>
      <c r="P52" s="44"/>
      <c r="Q52" s="44"/>
    </row>
    <row r="53" spans="1:17" ht="26.4" x14ac:dyDescent="0.25">
      <c r="A53" s="37" t="s">
        <v>449</v>
      </c>
      <c r="B53" s="18"/>
      <c r="C53" s="104" t="s">
        <v>412</v>
      </c>
      <c r="D53" s="14" t="s">
        <v>189</v>
      </c>
      <c r="E53" s="47">
        <f t="shared" si="1"/>
        <v>72</v>
      </c>
      <c r="F53" s="40">
        <f>30+42</f>
        <v>72</v>
      </c>
      <c r="G53" s="40"/>
      <c r="H53" s="40">
        <f>30-30</f>
        <v>0</v>
      </c>
      <c r="I53" s="4"/>
      <c r="J53" s="4"/>
      <c r="K53" s="4"/>
      <c r="L53" s="4"/>
      <c r="N53" s="44"/>
      <c r="O53" s="44"/>
      <c r="P53" s="44"/>
      <c r="Q53" s="44"/>
    </row>
    <row r="54" spans="1:17" ht="26.4" x14ac:dyDescent="0.25">
      <c r="A54" s="37" t="s">
        <v>450</v>
      </c>
      <c r="B54" s="1"/>
      <c r="C54" s="101" t="s">
        <v>253</v>
      </c>
      <c r="D54" s="14" t="s">
        <v>189</v>
      </c>
      <c r="E54" s="47">
        <f t="shared" si="1"/>
        <v>50</v>
      </c>
      <c r="F54" s="47">
        <v>50</v>
      </c>
      <c r="G54" s="19"/>
      <c r="H54" s="19"/>
      <c r="I54" s="4"/>
      <c r="J54" s="4"/>
      <c r="K54" s="4"/>
      <c r="L54" s="4"/>
      <c r="N54" s="44"/>
      <c r="O54" s="44"/>
      <c r="P54" s="44"/>
      <c r="Q54" s="44"/>
    </row>
    <row r="55" spans="1:17" ht="66" x14ac:dyDescent="0.25">
      <c r="A55" s="37" t="s">
        <v>763</v>
      </c>
      <c r="B55" s="1"/>
      <c r="C55" s="101" t="s">
        <v>789</v>
      </c>
      <c r="D55" s="14" t="s">
        <v>189</v>
      </c>
      <c r="E55" s="47">
        <f t="shared" si="1"/>
        <v>40</v>
      </c>
      <c r="F55" s="47">
        <f>10+30-30</f>
        <v>10</v>
      </c>
      <c r="G55" s="19"/>
      <c r="H55" s="19">
        <v>30</v>
      </c>
      <c r="I55" s="4"/>
      <c r="J55" s="4"/>
      <c r="K55" s="4"/>
      <c r="L55" s="4"/>
      <c r="N55" s="44"/>
      <c r="O55" s="105"/>
      <c r="P55" s="44"/>
      <c r="Q55" s="44"/>
    </row>
    <row r="56" spans="1:17" ht="20.100000000000001" customHeight="1" x14ac:dyDescent="0.25">
      <c r="A56" s="12">
        <v>33</v>
      </c>
      <c r="B56" s="11" t="s">
        <v>70</v>
      </c>
      <c r="C56" s="17" t="s">
        <v>71</v>
      </c>
      <c r="D56" s="9"/>
      <c r="E56" s="93">
        <f>+F56+H56</f>
        <v>483.09999999999997</v>
      </c>
      <c r="F56" s="93">
        <f>+F57+F58</f>
        <v>430.79999999999995</v>
      </c>
      <c r="G56" s="93">
        <f>+G57+G58</f>
        <v>57.099999999999994</v>
      </c>
      <c r="H56" s="93">
        <f>+H57+H58</f>
        <v>52.3</v>
      </c>
      <c r="I56" s="4"/>
      <c r="J56" s="4"/>
      <c r="K56" s="4"/>
      <c r="L56" s="4"/>
      <c r="N56" s="44"/>
      <c r="O56" s="44"/>
      <c r="P56" s="44"/>
      <c r="Q56" s="44"/>
    </row>
    <row r="57" spans="1:17" ht="25.5" customHeight="1" x14ac:dyDescent="0.25">
      <c r="A57" s="12">
        <v>34</v>
      </c>
      <c r="B57" s="11"/>
      <c r="C57" s="15" t="s">
        <v>214</v>
      </c>
      <c r="D57" s="14" t="s">
        <v>215</v>
      </c>
      <c r="E57" s="19">
        <f>+F57+H57</f>
        <v>58.3</v>
      </c>
      <c r="F57" s="19">
        <f>52.5+3.4+2.4</f>
        <v>58.3</v>
      </c>
      <c r="G57" s="19">
        <f>51.4+3.3+2.4</f>
        <v>57.099999999999994</v>
      </c>
      <c r="H57" s="19"/>
      <c r="I57" s="4"/>
      <c r="J57" s="4"/>
      <c r="K57" s="4"/>
      <c r="L57" s="4"/>
      <c r="N57" s="44"/>
      <c r="O57" s="44"/>
      <c r="P57" s="44"/>
      <c r="Q57" s="44"/>
    </row>
    <row r="58" spans="1:17" x14ac:dyDescent="0.25">
      <c r="A58" s="12">
        <v>35</v>
      </c>
      <c r="B58" s="1"/>
      <c r="C58" s="16" t="s">
        <v>211</v>
      </c>
      <c r="D58" s="14"/>
      <c r="E58" s="19">
        <f>+F58+H58</f>
        <v>424.79999999999995</v>
      </c>
      <c r="F58" s="19">
        <f>+F59+F60+F61+F62+F63+F64+F65+F66+F67+F68+F69+F70+F71+F72</f>
        <v>372.49999999999994</v>
      </c>
      <c r="G58" s="19">
        <f>+G59+G60+G61+G62+G63+G64+G65+G66+G67+G68+G69+G70+G71+G72</f>
        <v>0</v>
      </c>
      <c r="H58" s="19">
        <f>+H59+H60+H61+H62+H63+H64+H65+H66+H67+H68+H69+H70+H71+H72</f>
        <v>52.3</v>
      </c>
      <c r="I58" s="4"/>
      <c r="J58" s="4"/>
      <c r="K58" s="4"/>
      <c r="L58" s="4"/>
      <c r="N58" s="44"/>
      <c r="O58" s="44"/>
      <c r="P58" s="44"/>
      <c r="Q58" s="44"/>
    </row>
    <row r="59" spans="1:17" ht="16.5" customHeight="1" x14ac:dyDescent="0.25">
      <c r="A59" s="37" t="s">
        <v>451</v>
      </c>
      <c r="B59" s="1"/>
      <c r="C59" s="23" t="s">
        <v>3</v>
      </c>
      <c r="D59" s="1" t="s">
        <v>116</v>
      </c>
      <c r="E59" s="19">
        <f t="shared" ref="E59:E100" si="2">+F59+H59</f>
        <v>1</v>
      </c>
      <c r="F59" s="19">
        <v>1</v>
      </c>
      <c r="G59" s="19"/>
      <c r="H59" s="19"/>
      <c r="I59" s="4"/>
      <c r="J59" s="4"/>
      <c r="K59" s="4"/>
      <c r="L59" s="4"/>
      <c r="N59" s="44"/>
      <c r="O59" s="44"/>
      <c r="P59" s="44"/>
      <c r="Q59" s="44"/>
    </row>
    <row r="60" spans="1:17" ht="42" customHeight="1" x14ac:dyDescent="0.25">
      <c r="A60" s="37" t="s">
        <v>452</v>
      </c>
      <c r="B60" s="1"/>
      <c r="C60" s="106" t="s">
        <v>397</v>
      </c>
      <c r="D60" s="14" t="s">
        <v>72</v>
      </c>
      <c r="E60" s="19">
        <f t="shared" si="2"/>
        <v>20</v>
      </c>
      <c r="F60" s="19">
        <v>20</v>
      </c>
      <c r="G60" s="19"/>
      <c r="H60" s="19"/>
      <c r="I60" s="4"/>
      <c r="J60" s="4"/>
      <c r="K60" s="4"/>
      <c r="L60" s="4"/>
      <c r="N60" s="44"/>
      <c r="O60" s="44"/>
      <c r="P60" s="44"/>
      <c r="Q60" s="44"/>
    </row>
    <row r="61" spans="1:17" ht="30.6" customHeight="1" x14ac:dyDescent="0.25">
      <c r="A61" s="37" t="s">
        <v>453</v>
      </c>
      <c r="B61" s="1"/>
      <c r="C61" s="106" t="s">
        <v>398</v>
      </c>
      <c r="D61" s="14" t="s">
        <v>73</v>
      </c>
      <c r="E61" s="19">
        <f t="shared" si="2"/>
        <v>40</v>
      </c>
      <c r="F61" s="19">
        <v>40</v>
      </c>
      <c r="G61" s="19"/>
      <c r="H61" s="19"/>
      <c r="I61" s="4"/>
      <c r="J61" s="4"/>
      <c r="K61" s="4"/>
      <c r="L61" s="4"/>
      <c r="N61" s="44"/>
      <c r="O61" s="44"/>
      <c r="P61" s="44"/>
      <c r="Q61" s="44"/>
    </row>
    <row r="62" spans="1:17" ht="42.75" customHeight="1" x14ac:dyDescent="0.25">
      <c r="A62" s="37" t="s">
        <v>454</v>
      </c>
      <c r="B62" s="1"/>
      <c r="C62" s="106" t="s">
        <v>403</v>
      </c>
      <c r="D62" s="14" t="s">
        <v>72</v>
      </c>
      <c r="E62" s="19">
        <f t="shared" si="2"/>
        <v>10.3</v>
      </c>
      <c r="F62" s="19">
        <v>10.3</v>
      </c>
      <c r="G62" s="19"/>
      <c r="H62" s="19"/>
      <c r="I62" s="4"/>
      <c r="J62" s="4"/>
      <c r="K62" s="4"/>
      <c r="L62" s="4"/>
      <c r="N62" s="44"/>
      <c r="O62" s="44"/>
      <c r="P62" s="44"/>
      <c r="Q62" s="44"/>
    </row>
    <row r="63" spans="1:17" ht="40.5" customHeight="1" x14ac:dyDescent="0.25">
      <c r="A63" s="37" t="s">
        <v>455</v>
      </c>
      <c r="B63" s="1"/>
      <c r="C63" s="106" t="s">
        <v>399</v>
      </c>
      <c r="D63" s="14" t="s">
        <v>72</v>
      </c>
      <c r="E63" s="19">
        <f t="shared" si="2"/>
        <v>10.9</v>
      </c>
      <c r="F63" s="19">
        <v>10.9</v>
      </c>
      <c r="G63" s="19"/>
      <c r="H63" s="19"/>
      <c r="I63" s="4"/>
      <c r="J63" s="4"/>
      <c r="K63" s="4"/>
      <c r="L63" s="4"/>
      <c r="N63" s="44"/>
      <c r="O63" s="44"/>
      <c r="P63" s="44"/>
      <c r="Q63" s="44"/>
    </row>
    <row r="64" spans="1:17" ht="42" customHeight="1" x14ac:dyDescent="0.25">
      <c r="A64" s="37" t="s">
        <v>456</v>
      </c>
      <c r="B64" s="1"/>
      <c r="C64" s="106" t="s">
        <v>400</v>
      </c>
      <c r="D64" s="14" t="s">
        <v>72</v>
      </c>
      <c r="E64" s="19">
        <f t="shared" si="2"/>
        <v>43.3</v>
      </c>
      <c r="F64" s="19">
        <v>43.3</v>
      </c>
      <c r="G64" s="19"/>
      <c r="H64" s="19"/>
      <c r="I64" s="4"/>
      <c r="J64" s="4"/>
      <c r="K64" s="4"/>
      <c r="L64" s="4"/>
      <c r="N64" s="44"/>
      <c r="O64" s="44"/>
      <c r="P64" s="44"/>
      <c r="Q64" s="44"/>
    </row>
    <row r="65" spans="1:17" ht="52.8" x14ac:dyDescent="0.25">
      <c r="A65" s="37" t="s">
        <v>457</v>
      </c>
      <c r="B65" s="1"/>
      <c r="C65" s="106" t="s">
        <v>401</v>
      </c>
      <c r="D65" s="14" t="s">
        <v>138</v>
      </c>
      <c r="E65" s="19">
        <f t="shared" si="2"/>
        <v>20</v>
      </c>
      <c r="F65" s="19">
        <f>20+10-10</f>
        <v>20</v>
      </c>
      <c r="G65" s="19"/>
      <c r="H65" s="19"/>
      <c r="I65" s="4"/>
      <c r="J65" s="4"/>
      <c r="K65" s="4"/>
      <c r="L65" s="4"/>
      <c r="N65" s="44"/>
      <c r="O65" s="44"/>
      <c r="P65" s="44"/>
      <c r="Q65" s="44"/>
    </row>
    <row r="66" spans="1:17" ht="45" customHeight="1" x14ac:dyDescent="0.25">
      <c r="A66" s="37" t="s">
        <v>458</v>
      </c>
      <c r="B66" s="1"/>
      <c r="C66" s="106" t="s">
        <v>216</v>
      </c>
      <c r="D66" s="14" t="s">
        <v>233</v>
      </c>
      <c r="E66" s="19">
        <f t="shared" si="2"/>
        <v>8</v>
      </c>
      <c r="F66" s="19">
        <v>8</v>
      </c>
      <c r="G66" s="19"/>
      <c r="H66" s="19"/>
      <c r="I66" s="4"/>
      <c r="J66" s="4"/>
      <c r="K66" s="4"/>
      <c r="L66" s="4"/>
      <c r="N66" s="44"/>
      <c r="O66" s="44"/>
      <c r="P66" s="44"/>
      <c r="Q66" s="44"/>
    </row>
    <row r="67" spans="1:17" ht="39.6" x14ac:dyDescent="0.25">
      <c r="A67" s="37" t="s">
        <v>459</v>
      </c>
      <c r="B67" s="1"/>
      <c r="C67" s="106" t="s">
        <v>254</v>
      </c>
      <c r="D67" s="14" t="s">
        <v>74</v>
      </c>
      <c r="E67" s="19">
        <f t="shared" si="2"/>
        <v>36.1</v>
      </c>
      <c r="F67" s="19">
        <v>36.1</v>
      </c>
      <c r="G67" s="19"/>
      <c r="H67" s="19"/>
      <c r="I67" s="4"/>
      <c r="J67" s="4"/>
      <c r="K67" s="4"/>
      <c r="L67" s="4"/>
      <c r="N67" s="44"/>
      <c r="O67" s="44"/>
      <c r="P67" s="44"/>
      <c r="Q67" s="44"/>
    </row>
    <row r="68" spans="1:17" ht="39.6" x14ac:dyDescent="0.25">
      <c r="A68" s="37" t="s">
        <v>460</v>
      </c>
      <c r="B68" s="1"/>
      <c r="C68" s="106" t="s">
        <v>277</v>
      </c>
      <c r="D68" s="14" t="s">
        <v>74</v>
      </c>
      <c r="E68" s="19">
        <f t="shared" si="2"/>
        <v>21.1</v>
      </c>
      <c r="F68" s="19">
        <v>21.1</v>
      </c>
      <c r="G68" s="19"/>
      <c r="H68" s="19"/>
      <c r="I68" s="4"/>
      <c r="J68" s="4"/>
      <c r="K68" s="4"/>
      <c r="L68" s="4"/>
      <c r="N68" s="44"/>
      <c r="O68" s="44"/>
      <c r="P68" s="44"/>
      <c r="Q68" s="44"/>
    </row>
    <row r="69" spans="1:17" ht="39.6" x14ac:dyDescent="0.25">
      <c r="A69" s="37" t="s">
        <v>461</v>
      </c>
      <c r="B69" s="1"/>
      <c r="C69" s="106" t="s">
        <v>378</v>
      </c>
      <c r="D69" s="14" t="s">
        <v>74</v>
      </c>
      <c r="E69" s="19">
        <f t="shared" si="2"/>
        <v>19.100000000000001</v>
      </c>
      <c r="F69" s="19">
        <v>19.100000000000001</v>
      </c>
      <c r="G69" s="19"/>
      <c r="H69" s="19"/>
      <c r="I69" s="4"/>
      <c r="J69" s="4"/>
      <c r="K69" s="4"/>
      <c r="L69" s="4"/>
      <c r="N69" s="44"/>
      <c r="O69" s="44"/>
      <c r="P69" s="44"/>
      <c r="Q69" s="44"/>
    </row>
    <row r="70" spans="1:17" ht="39.6" x14ac:dyDescent="0.25">
      <c r="A70" s="37" t="s">
        <v>462</v>
      </c>
      <c r="B70" s="1"/>
      <c r="C70" s="107" t="s">
        <v>396</v>
      </c>
      <c r="D70" s="14" t="s">
        <v>72</v>
      </c>
      <c r="E70" s="19">
        <f t="shared" si="2"/>
        <v>40</v>
      </c>
      <c r="F70" s="19">
        <v>40</v>
      </c>
      <c r="G70" s="19"/>
      <c r="H70" s="19"/>
      <c r="I70" s="4"/>
      <c r="J70" s="4"/>
      <c r="K70" s="4"/>
      <c r="L70" s="4"/>
      <c r="N70" s="44"/>
      <c r="O70" s="44"/>
      <c r="P70" s="44"/>
      <c r="Q70" s="44"/>
    </row>
    <row r="71" spans="1:17" ht="29.25" customHeight="1" x14ac:dyDescent="0.25">
      <c r="A71" s="37" t="s">
        <v>463</v>
      </c>
      <c r="B71" s="1"/>
      <c r="C71" s="106" t="s">
        <v>377</v>
      </c>
      <c r="D71" s="14" t="s">
        <v>75</v>
      </c>
      <c r="E71" s="19">
        <f t="shared" si="2"/>
        <v>87.2</v>
      </c>
      <c r="F71" s="19">
        <v>85.2</v>
      </c>
      <c r="G71" s="19"/>
      <c r="H71" s="19">
        <v>2</v>
      </c>
      <c r="I71" s="4"/>
      <c r="J71" s="4"/>
      <c r="K71" s="4"/>
      <c r="L71" s="4"/>
      <c r="N71" s="44"/>
      <c r="O71" s="44"/>
      <c r="P71" s="44"/>
      <c r="Q71" s="44"/>
    </row>
    <row r="72" spans="1:17" ht="38.4" customHeight="1" x14ac:dyDescent="0.25">
      <c r="A72" s="37" t="s">
        <v>464</v>
      </c>
      <c r="B72" s="1"/>
      <c r="C72" s="102" t="s">
        <v>392</v>
      </c>
      <c r="D72" s="14"/>
      <c r="E72" s="108">
        <f t="shared" si="2"/>
        <v>67.8</v>
      </c>
      <c r="F72" s="108">
        <f>+F74+F75+F73+F76</f>
        <v>17.5</v>
      </c>
      <c r="G72" s="108">
        <f>+G74+G75+G73+G76</f>
        <v>0</v>
      </c>
      <c r="H72" s="108">
        <f>+H74+H75+H73+H76</f>
        <v>50.3</v>
      </c>
      <c r="I72" s="4"/>
      <c r="J72" s="4"/>
      <c r="K72" s="4"/>
      <c r="L72" s="4"/>
      <c r="N72" s="44"/>
      <c r="O72" s="44"/>
      <c r="P72" s="44"/>
      <c r="Q72" s="44"/>
    </row>
    <row r="73" spans="1:17" ht="26.4" x14ac:dyDescent="0.25">
      <c r="A73" s="37" t="s">
        <v>465</v>
      </c>
      <c r="B73" s="1"/>
      <c r="C73" s="106" t="s">
        <v>236</v>
      </c>
      <c r="D73" s="14" t="s">
        <v>138</v>
      </c>
      <c r="E73" s="19">
        <f>+F73+H73</f>
        <v>0.4</v>
      </c>
      <c r="F73" s="19">
        <v>0.4</v>
      </c>
      <c r="G73" s="19"/>
      <c r="H73" s="19"/>
      <c r="I73" s="4"/>
      <c r="J73" s="4"/>
      <c r="K73" s="4"/>
      <c r="L73" s="4"/>
      <c r="N73" s="44"/>
      <c r="O73" s="44"/>
      <c r="P73" s="44"/>
      <c r="Q73" s="44"/>
    </row>
    <row r="74" spans="1:17" ht="39.6" x14ac:dyDescent="0.25">
      <c r="A74" s="37" t="s">
        <v>466</v>
      </c>
      <c r="B74" s="1"/>
      <c r="C74" s="32" t="s">
        <v>217</v>
      </c>
      <c r="D74" s="14" t="s">
        <v>74</v>
      </c>
      <c r="E74" s="19">
        <f t="shared" si="2"/>
        <v>15.1</v>
      </c>
      <c r="F74" s="19">
        <v>15.1</v>
      </c>
      <c r="G74" s="19"/>
      <c r="H74" s="19"/>
      <c r="I74" s="4"/>
      <c r="J74" s="4"/>
      <c r="K74" s="4"/>
      <c r="L74" s="4"/>
      <c r="N74" s="44"/>
      <c r="O74" s="44"/>
      <c r="P74" s="44"/>
      <c r="Q74" s="44"/>
    </row>
    <row r="75" spans="1:17" s="46" customFormat="1" ht="39.6" x14ac:dyDescent="0.25">
      <c r="A75" s="37" t="s">
        <v>467</v>
      </c>
      <c r="B75" s="1"/>
      <c r="C75" s="32" t="s">
        <v>177</v>
      </c>
      <c r="D75" s="14" t="s">
        <v>233</v>
      </c>
      <c r="E75" s="19">
        <f t="shared" si="2"/>
        <v>2.2999999999999998</v>
      </c>
      <c r="F75" s="19">
        <f>7.3-5.3</f>
        <v>2</v>
      </c>
      <c r="G75" s="19"/>
      <c r="H75" s="19">
        <f>5-4.7</f>
        <v>0.29999999999999982</v>
      </c>
      <c r="I75" s="4"/>
      <c r="J75" s="97"/>
      <c r="K75" s="97"/>
      <c r="L75" s="97"/>
      <c r="N75" s="44"/>
      <c r="O75" s="44"/>
      <c r="P75" s="44"/>
      <c r="Q75" s="44"/>
    </row>
    <row r="76" spans="1:17" x14ac:dyDescent="0.25">
      <c r="A76" s="37" t="s">
        <v>744</v>
      </c>
      <c r="B76" s="1"/>
      <c r="C76" s="32" t="s">
        <v>743</v>
      </c>
      <c r="D76" s="14" t="s">
        <v>138</v>
      </c>
      <c r="E76" s="19">
        <f t="shared" si="2"/>
        <v>50</v>
      </c>
      <c r="F76" s="19"/>
      <c r="G76" s="19"/>
      <c r="H76" s="19">
        <v>50</v>
      </c>
      <c r="I76" s="4"/>
      <c r="J76" s="4"/>
      <c r="K76" s="4"/>
      <c r="L76" s="4"/>
      <c r="N76" s="44"/>
      <c r="O76" s="44"/>
      <c r="P76" s="44"/>
      <c r="Q76" s="44"/>
    </row>
    <row r="77" spans="1:17" ht="21.75" customHeight="1" x14ac:dyDescent="0.25">
      <c r="A77" s="12">
        <v>36</v>
      </c>
      <c r="B77" s="11" t="s">
        <v>22</v>
      </c>
      <c r="C77" s="17" t="s">
        <v>23</v>
      </c>
      <c r="D77" s="9"/>
      <c r="E77" s="93">
        <f t="shared" si="2"/>
        <v>6808.5999999999995</v>
      </c>
      <c r="F77" s="93">
        <f>+F78+F81+F82+F83+F84+F85+F103+F104+F105+F106+F107+F108+F109+F110+F111+F112+F113</f>
        <v>6756.4</v>
      </c>
      <c r="G77" s="93">
        <f>+G78+G81+G82+G83+G84+G85+G103+G104+G105+G106+G107+G108+G109+G110+G111+G112+G113</f>
        <v>2474.599999999999</v>
      </c>
      <c r="H77" s="93">
        <f>+H78+H81+H82+H83+H84+H85+H103+H104+H105+H106+H107+H108+H109+H110+H111+H112+H113</f>
        <v>52.2</v>
      </c>
      <c r="I77" s="4"/>
      <c r="J77" s="4"/>
      <c r="K77" s="4"/>
      <c r="L77" s="4"/>
      <c r="N77" s="44"/>
      <c r="O77" s="44"/>
      <c r="P77" s="44"/>
      <c r="Q77" s="44"/>
    </row>
    <row r="78" spans="1:17" ht="15" customHeight="1" x14ac:dyDescent="0.25">
      <c r="A78" s="181">
        <v>37</v>
      </c>
      <c r="B78" s="182"/>
      <c r="C78" s="23" t="s">
        <v>1</v>
      </c>
      <c r="D78" s="183" t="s">
        <v>76</v>
      </c>
      <c r="E78" s="19">
        <f t="shared" si="2"/>
        <v>835.60000000000014</v>
      </c>
      <c r="F78" s="19">
        <f>779.5+3.2+37.6+3.7</f>
        <v>824.00000000000011</v>
      </c>
      <c r="G78" s="19">
        <f>568.8+36.9</f>
        <v>605.69999999999993</v>
      </c>
      <c r="H78" s="19">
        <f>7.1+4.5</f>
        <v>11.6</v>
      </c>
      <c r="I78" s="4"/>
      <c r="J78" s="4"/>
      <c r="K78" s="4"/>
      <c r="L78" s="4"/>
      <c r="N78" s="44"/>
      <c r="O78" s="44"/>
      <c r="P78" s="44"/>
      <c r="Q78" s="44"/>
    </row>
    <row r="79" spans="1:17" ht="15" customHeight="1" x14ac:dyDescent="0.25">
      <c r="A79" s="181"/>
      <c r="B79" s="182"/>
      <c r="C79" s="41" t="s">
        <v>393</v>
      </c>
      <c r="D79" s="183"/>
      <c r="E79" s="19">
        <f t="shared" si="2"/>
        <v>173.4</v>
      </c>
      <c r="F79" s="19">
        <v>173.4</v>
      </c>
      <c r="G79" s="19"/>
      <c r="H79" s="19"/>
      <c r="I79" s="4"/>
      <c r="J79" s="4"/>
      <c r="K79" s="4"/>
      <c r="L79" s="4"/>
      <c r="N79" s="44"/>
      <c r="O79" s="44"/>
      <c r="P79" s="44"/>
      <c r="Q79" s="44"/>
    </row>
    <row r="80" spans="1:17" ht="26.4" x14ac:dyDescent="0.25">
      <c r="A80" s="181"/>
      <c r="B80" s="182"/>
      <c r="C80" s="109" t="s">
        <v>237</v>
      </c>
      <c r="D80" s="183"/>
      <c r="E80" s="19">
        <f t="shared" si="2"/>
        <v>1</v>
      </c>
      <c r="F80" s="19">
        <v>1</v>
      </c>
      <c r="G80" s="19"/>
      <c r="H80" s="19"/>
      <c r="I80" s="4"/>
      <c r="J80" s="4"/>
      <c r="K80" s="4"/>
      <c r="L80" s="4"/>
      <c r="N80" s="44"/>
      <c r="O80" s="44"/>
      <c r="P80" s="44"/>
      <c r="Q80" s="44"/>
    </row>
    <row r="81" spans="1:17" x14ac:dyDescent="0.25">
      <c r="A81" s="12">
        <v>38</v>
      </c>
      <c r="B81" s="1"/>
      <c r="C81" s="110" t="s">
        <v>2</v>
      </c>
      <c r="D81" s="111" t="s">
        <v>77</v>
      </c>
      <c r="E81" s="19">
        <f t="shared" si="2"/>
        <v>239.3</v>
      </c>
      <c r="F81" s="19">
        <f>220.8+2.6+11.5+4.4</f>
        <v>239.3</v>
      </c>
      <c r="G81" s="19">
        <f>172.7+11.2</f>
        <v>183.89999999999998</v>
      </c>
      <c r="H81" s="19"/>
      <c r="I81" s="4"/>
      <c r="J81" s="4"/>
      <c r="K81" s="4"/>
      <c r="L81" s="4"/>
      <c r="N81" s="44"/>
      <c r="O81" s="44"/>
      <c r="P81" s="44"/>
      <c r="Q81" s="44"/>
    </row>
    <row r="82" spans="1:17" x14ac:dyDescent="0.25">
      <c r="A82" s="12">
        <v>39</v>
      </c>
      <c r="B82" s="1"/>
      <c r="C82" s="100" t="s">
        <v>15</v>
      </c>
      <c r="D82" s="14" t="s">
        <v>110</v>
      </c>
      <c r="E82" s="19">
        <f t="shared" si="2"/>
        <v>244.3</v>
      </c>
      <c r="F82" s="19">
        <f>208.5+3.1+18.4+14.3</f>
        <v>244.3</v>
      </c>
      <c r="G82" s="40">
        <f>184.7+18.1+3+14.3</f>
        <v>220.1</v>
      </c>
      <c r="H82" s="19"/>
      <c r="I82" s="4"/>
      <c r="J82" s="4"/>
      <c r="K82" s="4"/>
      <c r="L82" s="4"/>
      <c r="N82" s="44"/>
      <c r="O82" s="44"/>
      <c r="P82" s="44"/>
      <c r="Q82" s="44"/>
    </row>
    <row r="83" spans="1:17" ht="15" customHeight="1" x14ac:dyDescent="0.25">
      <c r="A83" s="12">
        <v>40</v>
      </c>
      <c r="B83" s="1"/>
      <c r="C83" s="100" t="s">
        <v>20</v>
      </c>
      <c r="D83" s="22" t="s">
        <v>77</v>
      </c>
      <c r="E83" s="19">
        <f t="shared" si="2"/>
        <v>282.2</v>
      </c>
      <c r="F83" s="19">
        <f>252.7+1.1+11.6+16.8</f>
        <v>282.2</v>
      </c>
      <c r="G83" s="19">
        <f>213.6+11.4+1.7+16.7</f>
        <v>243.39999999999998</v>
      </c>
      <c r="H83" s="19"/>
      <c r="I83" s="4"/>
      <c r="J83" s="4"/>
      <c r="K83" s="4"/>
      <c r="L83" s="4"/>
      <c r="N83" s="44"/>
      <c r="O83" s="44"/>
      <c r="P83" s="44"/>
      <c r="Q83" s="44"/>
    </row>
    <row r="84" spans="1:17" ht="15" customHeight="1" x14ac:dyDescent="0.25">
      <c r="A84" s="12">
        <v>41</v>
      </c>
      <c r="B84" s="1"/>
      <c r="C84" s="23" t="s">
        <v>173</v>
      </c>
      <c r="D84" s="111" t="s">
        <v>24</v>
      </c>
      <c r="E84" s="19">
        <f t="shared" si="2"/>
        <v>1034.7</v>
      </c>
      <c r="F84" s="19">
        <f>971.8+3.2+49.5+10.2</f>
        <v>1034.7</v>
      </c>
      <c r="G84" s="19">
        <f>749.8+48.6+9.8</f>
        <v>808.19999999999993</v>
      </c>
      <c r="H84" s="19"/>
      <c r="I84" s="4"/>
      <c r="J84" s="4"/>
      <c r="K84" s="4"/>
      <c r="L84" s="4"/>
      <c r="N84" s="44"/>
      <c r="O84" s="44"/>
      <c r="P84" s="44"/>
      <c r="Q84" s="44"/>
    </row>
    <row r="85" spans="1:17" ht="15" customHeight="1" x14ac:dyDescent="0.25">
      <c r="A85" s="12">
        <v>42</v>
      </c>
      <c r="B85" s="1"/>
      <c r="C85" s="16" t="s">
        <v>211</v>
      </c>
      <c r="D85" s="1"/>
      <c r="E85" s="47">
        <f t="shared" si="2"/>
        <v>2057.7999999999997</v>
      </c>
      <c r="F85" s="47">
        <f>+F86+F87+F88+F90+F91+F92+F93+F89+F94+F95+F97+F96</f>
        <v>2017.1999999999998</v>
      </c>
      <c r="G85" s="47">
        <f>+G86+G87+G88+G90+G91+G92+G93+G89+G94+G95+G97+G96</f>
        <v>63.699999999999996</v>
      </c>
      <c r="H85" s="47">
        <f>+H86+H87+H88+H90+H91+H92+H93+H89+H94+H95+H97+H96</f>
        <v>40.6</v>
      </c>
      <c r="I85" s="4"/>
      <c r="J85" s="4"/>
      <c r="K85" s="4"/>
      <c r="L85" s="4"/>
      <c r="N85" s="44"/>
      <c r="O85" s="44"/>
      <c r="P85" s="44"/>
      <c r="Q85" s="44"/>
    </row>
    <row r="86" spans="1:17" ht="52.8" x14ac:dyDescent="0.25">
      <c r="A86" s="37" t="s">
        <v>468</v>
      </c>
      <c r="B86" s="1"/>
      <c r="C86" s="16" t="s">
        <v>3</v>
      </c>
      <c r="D86" s="22" t="s">
        <v>157</v>
      </c>
      <c r="E86" s="19">
        <f t="shared" si="2"/>
        <v>1028.6999999999998</v>
      </c>
      <c r="F86" s="19">
        <f>1040.7+60+2.6-10-41+1.3-24.9</f>
        <v>1028.6999999999998</v>
      </c>
      <c r="G86" s="19">
        <f>59.8+2.6+1.3</f>
        <v>63.699999999999996</v>
      </c>
      <c r="H86" s="19"/>
      <c r="I86" s="4"/>
      <c r="J86" s="4"/>
      <c r="K86" s="4"/>
      <c r="L86" s="4"/>
      <c r="N86" s="44"/>
      <c r="O86" s="44"/>
      <c r="P86" s="44"/>
      <c r="Q86" s="44"/>
    </row>
    <row r="87" spans="1:17" ht="27.6" customHeight="1" x14ac:dyDescent="0.25">
      <c r="A87" s="37" t="s">
        <v>469</v>
      </c>
      <c r="B87" s="1"/>
      <c r="C87" s="38" t="s">
        <v>163</v>
      </c>
      <c r="D87" s="39" t="s">
        <v>78</v>
      </c>
      <c r="E87" s="19">
        <f t="shared" si="2"/>
        <v>50</v>
      </c>
      <c r="F87" s="19">
        <f>50</f>
        <v>50</v>
      </c>
      <c r="G87" s="19"/>
      <c r="H87" s="19"/>
      <c r="I87" s="4"/>
      <c r="J87" s="4"/>
      <c r="K87" s="4"/>
      <c r="L87" s="4"/>
      <c r="N87" s="44"/>
      <c r="O87" s="44"/>
      <c r="P87" s="44"/>
      <c r="Q87" s="44"/>
    </row>
    <row r="88" spans="1:17" ht="26.25" customHeight="1" x14ac:dyDescent="0.25">
      <c r="A88" s="37" t="s">
        <v>470</v>
      </c>
      <c r="B88" s="1"/>
      <c r="C88" s="106" t="s">
        <v>164</v>
      </c>
      <c r="D88" s="39" t="s">
        <v>78</v>
      </c>
      <c r="E88" s="19">
        <f t="shared" si="2"/>
        <v>115</v>
      </c>
      <c r="F88" s="19">
        <f>80+10+25</f>
        <v>115</v>
      </c>
      <c r="G88" s="19"/>
      <c r="H88" s="19"/>
      <c r="I88" s="4"/>
      <c r="J88" s="4"/>
      <c r="K88" s="4"/>
      <c r="L88" s="4"/>
      <c r="N88" s="44"/>
      <c r="O88" s="44"/>
      <c r="P88" s="44"/>
      <c r="Q88" s="44"/>
    </row>
    <row r="89" spans="1:17" ht="28.5" customHeight="1" x14ac:dyDescent="0.25">
      <c r="A89" s="37" t="s">
        <v>471</v>
      </c>
      <c r="B89" s="1"/>
      <c r="C89" s="104" t="s">
        <v>167</v>
      </c>
      <c r="D89" s="1" t="s">
        <v>114</v>
      </c>
      <c r="E89" s="40">
        <f>+F89+H89</f>
        <v>22</v>
      </c>
      <c r="F89" s="40">
        <f>30-8</f>
        <v>22</v>
      </c>
      <c r="G89" s="40"/>
      <c r="H89" s="40"/>
      <c r="I89" s="4"/>
      <c r="J89" s="4"/>
      <c r="K89" s="4"/>
      <c r="L89" s="4"/>
      <c r="N89" s="44"/>
      <c r="O89" s="44"/>
      <c r="P89" s="44"/>
      <c r="Q89" s="44"/>
    </row>
    <row r="90" spans="1:17" ht="15" customHeight="1" x14ac:dyDescent="0.25">
      <c r="A90" s="37" t="s">
        <v>472</v>
      </c>
      <c r="B90" s="1"/>
      <c r="C90" s="104" t="s">
        <v>165</v>
      </c>
      <c r="D90" s="111" t="s">
        <v>79</v>
      </c>
      <c r="E90" s="19">
        <f t="shared" si="2"/>
        <v>70</v>
      </c>
      <c r="F90" s="19">
        <f>52+18</f>
        <v>70</v>
      </c>
      <c r="G90" s="19"/>
      <c r="H90" s="19"/>
      <c r="I90" s="4"/>
      <c r="J90" s="4"/>
      <c r="K90" s="4"/>
      <c r="L90" s="4"/>
      <c r="N90" s="44"/>
      <c r="O90" s="44"/>
      <c r="P90" s="44"/>
      <c r="Q90" s="44"/>
    </row>
    <row r="91" spans="1:17" ht="26.25" customHeight="1" x14ac:dyDescent="0.25">
      <c r="A91" s="37" t="s">
        <v>473</v>
      </c>
      <c r="B91" s="1"/>
      <c r="C91" s="104" t="s">
        <v>240</v>
      </c>
      <c r="D91" s="39" t="s">
        <v>79</v>
      </c>
      <c r="E91" s="19">
        <f t="shared" si="2"/>
        <v>131.9</v>
      </c>
      <c r="F91" s="19">
        <f>85+40+6.9</f>
        <v>131.9</v>
      </c>
      <c r="G91" s="19"/>
      <c r="H91" s="19"/>
      <c r="I91" s="4"/>
      <c r="J91" s="4"/>
      <c r="K91" s="4"/>
      <c r="L91" s="4"/>
      <c r="N91" s="44"/>
      <c r="O91" s="44"/>
      <c r="P91" s="44"/>
      <c r="Q91" s="44"/>
    </row>
    <row r="92" spans="1:17" ht="39" customHeight="1" x14ac:dyDescent="0.25">
      <c r="A92" s="37" t="s">
        <v>474</v>
      </c>
      <c r="B92" s="1"/>
      <c r="C92" s="104" t="s">
        <v>166</v>
      </c>
      <c r="D92" s="39" t="s">
        <v>80</v>
      </c>
      <c r="E92" s="40">
        <f t="shared" si="2"/>
        <v>311.3</v>
      </c>
      <c r="F92" s="40">
        <f>447-85.7-50</f>
        <v>311.3</v>
      </c>
      <c r="G92" s="40"/>
      <c r="H92" s="40"/>
      <c r="I92" s="4"/>
      <c r="J92" s="4"/>
      <c r="K92" s="4"/>
      <c r="L92" s="4"/>
      <c r="N92" s="44"/>
      <c r="O92" s="44"/>
      <c r="P92" s="44"/>
      <c r="Q92" s="44"/>
    </row>
    <row r="93" spans="1:17" ht="28.5" customHeight="1" x14ac:dyDescent="0.25">
      <c r="A93" s="37" t="s">
        <v>475</v>
      </c>
      <c r="B93" s="1"/>
      <c r="C93" s="104" t="s">
        <v>406</v>
      </c>
      <c r="D93" s="1" t="s">
        <v>81</v>
      </c>
      <c r="E93" s="40">
        <f t="shared" si="2"/>
        <v>44</v>
      </c>
      <c r="F93" s="40">
        <v>44</v>
      </c>
      <c r="G93" s="40"/>
      <c r="H93" s="40"/>
      <c r="I93" s="4"/>
      <c r="J93" s="4"/>
      <c r="K93" s="4"/>
      <c r="L93" s="4"/>
      <c r="N93" s="44"/>
      <c r="O93" s="44"/>
      <c r="P93" s="44"/>
      <c r="Q93" s="44"/>
    </row>
    <row r="94" spans="1:17" ht="28.5" customHeight="1" x14ac:dyDescent="0.25">
      <c r="A94" s="37" t="s">
        <v>476</v>
      </c>
      <c r="B94" s="1"/>
      <c r="C94" s="104" t="s">
        <v>404</v>
      </c>
      <c r="D94" s="1" t="s">
        <v>25</v>
      </c>
      <c r="E94" s="40">
        <f t="shared" si="2"/>
        <v>10</v>
      </c>
      <c r="F94" s="40">
        <v>10</v>
      </c>
      <c r="G94" s="40"/>
      <c r="H94" s="40"/>
      <c r="I94" s="4"/>
      <c r="J94" s="4"/>
      <c r="K94" s="4"/>
      <c r="L94" s="4"/>
      <c r="N94" s="44"/>
      <c r="O94" s="44"/>
      <c r="P94" s="44"/>
      <c r="Q94" s="44"/>
    </row>
    <row r="95" spans="1:17" x14ac:dyDescent="0.25">
      <c r="A95" s="37" t="s">
        <v>477</v>
      </c>
      <c r="B95" s="1"/>
      <c r="C95" s="104" t="s">
        <v>255</v>
      </c>
      <c r="D95" s="111" t="s">
        <v>24</v>
      </c>
      <c r="E95" s="40">
        <f t="shared" si="2"/>
        <v>53.5</v>
      </c>
      <c r="F95" s="40">
        <f>45.5+6+2</f>
        <v>53.5</v>
      </c>
      <c r="G95" s="40"/>
      <c r="H95" s="40"/>
      <c r="I95" s="4"/>
      <c r="J95" s="4"/>
      <c r="K95" s="4"/>
      <c r="L95" s="4"/>
      <c r="N95" s="44"/>
      <c r="O95" s="44"/>
      <c r="P95" s="44"/>
      <c r="Q95" s="44"/>
    </row>
    <row r="96" spans="1:17" ht="39.6" x14ac:dyDescent="0.25">
      <c r="A96" s="37" t="s">
        <v>478</v>
      </c>
      <c r="B96" s="1"/>
      <c r="C96" s="104" t="s">
        <v>405</v>
      </c>
      <c r="D96" s="111" t="s">
        <v>24</v>
      </c>
      <c r="E96" s="40">
        <f t="shared" si="2"/>
        <v>30</v>
      </c>
      <c r="F96" s="40">
        <v>30</v>
      </c>
      <c r="G96" s="40"/>
      <c r="H96" s="40"/>
      <c r="I96" s="4"/>
      <c r="J96" s="4"/>
      <c r="K96" s="4"/>
      <c r="L96" s="4"/>
      <c r="N96" s="44"/>
      <c r="O96" s="44"/>
      <c r="P96" s="44"/>
      <c r="Q96" s="44"/>
    </row>
    <row r="97" spans="1:17" ht="39" customHeight="1" x14ac:dyDescent="0.25">
      <c r="A97" s="37" t="s">
        <v>479</v>
      </c>
      <c r="B97" s="1"/>
      <c r="C97" s="102" t="s">
        <v>392</v>
      </c>
      <c r="D97" s="11"/>
      <c r="E97" s="103">
        <f t="shared" si="2"/>
        <v>191.4</v>
      </c>
      <c r="F97" s="103">
        <f>+F99+F100+F98+F101+F102</f>
        <v>150.80000000000001</v>
      </c>
      <c r="G97" s="103">
        <f>+G99+G100+G98+G101+G102</f>
        <v>0</v>
      </c>
      <c r="H97" s="103">
        <f>+H99+H100+H98+H101+H102</f>
        <v>40.6</v>
      </c>
      <c r="I97" s="4"/>
      <c r="J97" s="4"/>
      <c r="K97" s="4"/>
      <c r="L97" s="4"/>
      <c r="N97" s="44"/>
      <c r="O97" s="44"/>
      <c r="P97" s="44"/>
      <c r="Q97" s="44"/>
    </row>
    <row r="98" spans="1:17" ht="15.6" customHeight="1" x14ac:dyDescent="0.25">
      <c r="A98" s="37" t="s">
        <v>480</v>
      </c>
      <c r="B98" s="1"/>
      <c r="C98" s="104" t="s">
        <v>178</v>
      </c>
      <c r="D98" s="1" t="s">
        <v>94</v>
      </c>
      <c r="E98" s="40">
        <f t="shared" si="2"/>
        <v>40</v>
      </c>
      <c r="F98" s="40">
        <v>0.4</v>
      </c>
      <c r="G98" s="40"/>
      <c r="H98" s="40">
        <v>39.6</v>
      </c>
      <c r="I98" s="4"/>
      <c r="J98" s="4"/>
      <c r="K98" s="4"/>
      <c r="L98" s="4"/>
      <c r="N98" s="44"/>
      <c r="O98" s="44"/>
      <c r="P98" s="44"/>
      <c r="Q98" s="44"/>
    </row>
    <row r="99" spans="1:17" ht="26.4" x14ac:dyDescent="0.25">
      <c r="A99" s="37" t="s">
        <v>481</v>
      </c>
      <c r="B99" s="1"/>
      <c r="C99" s="104" t="s">
        <v>184</v>
      </c>
      <c r="D99" s="14" t="s">
        <v>234</v>
      </c>
      <c r="E99" s="40">
        <f t="shared" si="2"/>
        <v>90</v>
      </c>
      <c r="F99" s="40">
        <f>60+30</f>
        <v>90</v>
      </c>
      <c r="G99" s="40"/>
      <c r="H99" s="40"/>
      <c r="I99" s="4"/>
      <c r="J99" s="4"/>
      <c r="K99" s="4"/>
      <c r="L99" s="4"/>
      <c r="N99" s="44"/>
      <c r="O99" s="44"/>
      <c r="P99" s="44"/>
      <c r="Q99" s="44"/>
    </row>
    <row r="100" spans="1:17" ht="26.4" x14ac:dyDescent="0.25">
      <c r="A100" s="37" t="s">
        <v>482</v>
      </c>
      <c r="B100" s="1"/>
      <c r="C100" s="104" t="s">
        <v>256</v>
      </c>
      <c r="D100" s="1" t="s">
        <v>81</v>
      </c>
      <c r="E100" s="40">
        <f t="shared" si="2"/>
        <v>30</v>
      </c>
      <c r="F100" s="40">
        <v>30</v>
      </c>
      <c r="G100" s="40"/>
      <c r="H100" s="40"/>
      <c r="I100" s="4"/>
      <c r="J100" s="4"/>
      <c r="K100" s="4"/>
      <c r="L100" s="4"/>
      <c r="N100" s="44"/>
      <c r="O100" s="44"/>
      <c r="P100" s="44"/>
      <c r="Q100" s="44"/>
    </row>
    <row r="101" spans="1:17" ht="29.4" customHeight="1" x14ac:dyDescent="0.25">
      <c r="A101" s="37" t="s">
        <v>483</v>
      </c>
      <c r="B101" s="1"/>
      <c r="C101" s="32" t="s">
        <v>413</v>
      </c>
      <c r="D101" s="1" t="s">
        <v>24</v>
      </c>
      <c r="E101" s="40">
        <f>+F101+H101</f>
        <v>19.399999999999999</v>
      </c>
      <c r="F101" s="40">
        <v>18.399999999999999</v>
      </c>
      <c r="G101" s="40"/>
      <c r="H101" s="40">
        <v>1</v>
      </c>
      <c r="I101" s="4"/>
      <c r="J101" s="4"/>
      <c r="K101" s="4"/>
      <c r="L101" s="4"/>
      <c r="N101" s="44"/>
      <c r="O101" s="44"/>
      <c r="P101" s="44"/>
      <c r="Q101" s="44"/>
    </row>
    <row r="102" spans="1:17" ht="29.4" customHeight="1" x14ac:dyDescent="0.25">
      <c r="A102" s="37" t="s">
        <v>484</v>
      </c>
      <c r="B102" s="1"/>
      <c r="C102" s="32" t="s">
        <v>745</v>
      </c>
      <c r="D102" s="1" t="s">
        <v>94</v>
      </c>
      <c r="E102" s="40">
        <f>+F102+H102</f>
        <v>12</v>
      </c>
      <c r="F102" s="40">
        <v>12</v>
      </c>
      <c r="G102" s="40"/>
      <c r="H102" s="40"/>
      <c r="I102" s="4"/>
      <c r="J102" s="4"/>
      <c r="K102" s="4"/>
      <c r="L102" s="4"/>
      <c r="N102" s="44"/>
      <c r="O102" s="44"/>
      <c r="P102" s="44"/>
      <c r="Q102" s="44"/>
    </row>
    <row r="103" spans="1:17" ht="38.4" customHeight="1" x14ac:dyDescent="0.25">
      <c r="A103" s="12">
        <v>43</v>
      </c>
      <c r="B103" s="1"/>
      <c r="C103" s="15" t="s">
        <v>8</v>
      </c>
      <c r="D103" s="14" t="s">
        <v>121</v>
      </c>
      <c r="E103" s="19">
        <f t="shared" ref="E103:E113" si="3">+F103+H103</f>
        <v>849.9</v>
      </c>
      <c r="F103" s="19">
        <f>664.8+180+5.1</f>
        <v>849.9</v>
      </c>
      <c r="G103" s="19">
        <f>81.5+5</f>
        <v>86.5</v>
      </c>
      <c r="H103" s="19"/>
      <c r="I103" s="4"/>
      <c r="J103" s="4"/>
      <c r="K103" s="4"/>
      <c r="L103" s="4"/>
      <c r="N103" s="44"/>
      <c r="O103" s="44"/>
      <c r="P103" s="44"/>
      <c r="Q103" s="44"/>
    </row>
    <row r="104" spans="1:17" ht="38.25" customHeight="1" x14ac:dyDescent="0.25">
      <c r="A104" s="12">
        <v>44</v>
      </c>
      <c r="B104" s="1"/>
      <c r="C104" s="15" t="s">
        <v>4</v>
      </c>
      <c r="D104" s="14" t="s">
        <v>151</v>
      </c>
      <c r="E104" s="19">
        <f t="shared" si="3"/>
        <v>239.2</v>
      </c>
      <c r="F104" s="19">
        <f>221.5+18+3.1-4.5+1.1</f>
        <v>239.2</v>
      </c>
      <c r="G104" s="19">
        <f>43.2+3-4.4+1.3</f>
        <v>43.1</v>
      </c>
      <c r="H104" s="19"/>
      <c r="I104" s="4"/>
      <c r="J104" s="4"/>
      <c r="K104" s="4"/>
      <c r="L104" s="4"/>
      <c r="N104" s="44"/>
      <c r="O104" s="44"/>
      <c r="P104" s="44"/>
      <c r="Q104" s="44"/>
    </row>
    <row r="105" spans="1:17" ht="39.75" customHeight="1" x14ac:dyDescent="0.25">
      <c r="A105" s="12">
        <v>45</v>
      </c>
      <c r="B105" s="1"/>
      <c r="C105" s="15" t="s">
        <v>5</v>
      </c>
      <c r="D105" s="14" t="s">
        <v>121</v>
      </c>
      <c r="E105" s="19">
        <f t="shared" si="3"/>
        <v>128</v>
      </c>
      <c r="F105" s="19">
        <f>128.1+3.4-0.2-3.3</f>
        <v>128</v>
      </c>
      <c r="G105" s="19">
        <f>28.4+3.2-0.4-3.1</f>
        <v>28.099999999999998</v>
      </c>
      <c r="H105" s="19"/>
      <c r="I105" s="4"/>
      <c r="J105" s="4"/>
      <c r="K105" s="4"/>
      <c r="L105" s="4"/>
      <c r="N105" s="44"/>
      <c r="O105" s="44"/>
      <c r="P105" s="44"/>
      <c r="Q105" s="44"/>
    </row>
    <row r="106" spans="1:17" ht="39.75" customHeight="1" x14ac:dyDescent="0.25">
      <c r="A106" s="12">
        <v>46</v>
      </c>
      <c r="B106" s="1"/>
      <c r="C106" s="15" t="s">
        <v>7</v>
      </c>
      <c r="D106" s="14" t="s">
        <v>121</v>
      </c>
      <c r="E106" s="19">
        <f t="shared" si="3"/>
        <v>76.900000000000006</v>
      </c>
      <c r="F106" s="19">
        <f>60.5+18+2.5-4.1</f>
        <v>76.900000000000006</v>
      </c>
      <c r="G106" s="19">
        <f>18.9+2.5-4.1</f>
        <v>17.299999999999997</v>
      </c>
      <c r="H106" s="19"/>
      <c r="I106" s="4"/>
      <c r="J106" s="4"/>
      <c r="K106" s="4"/>
      <c r="L106" s="4"/>
      <c r="N106" s="44"/>
      <c r="O106" s="44"/>
      <c r="P106" s="44"/>
      <c r="Q106" s="44"/>
    </row>
    <row r="107" spans="1:17" ht="39.75" customHeight="1" x14ac:dyDescent="0.25">
      <c r="A107" s="12">
        <v>47</v>
      </c>
      <c r="B107" s="1"/>
      <c r="C107" s="15" t="s">
        <v>6</v>
      </c>
      <c r="D107" s="14" t="s">
        <v>121</v>
      </c>
      <c r="E107" s="19">
        <f t="shared" si="3"/>
        <v>172</v>
      </c>
      <c r="F107" s="19">
        <f>166.5+4.7-0.2+0.3+0.7</f>
        <v>172</v>
      </c>
      <c r="G107" s="19">
        <f>35.3+4.7-0.3+0.3+0.7</f>
        <v>40.700000000000003</v>
      </c>
      <c r="H107" s="19"/>
      <c r="I107" s="4"/>
      <c r="J107" s="4"/>
      <c r="K107" s="4"/>
      <c r="L107" s="4"/>
      <c r="N107" s="44"/>
      <c r="O107" s="44"/>
      <c r="P107" s="44"/>
      <c r="Q107" s="44"/>
    </row>
    <row r="108" spans="1:17" ht="39.75" customHeight="1" x14ac:dyDescent="0.25">
      <c r="A108" s="12">
        <v>48</v>
      </c>
      <c r="B108" s="1"/>
      <c r="C108" s="15" t="s">
        <v>9</v>
      </c>
      <c r="D108" s="14" t="s">
        <v>121</v>
      </c>
      <c r="E108" s="19">
        <f t="shared" si="3"/>
        <v>122.8</v>
      </c>
      <c r="F108" s="19">
        <f>95.1+28+1.8-2.1</f>
        <v>122.8</v>
      </c>
      <c r="G108" s="19">
        <f>19.7+1.8-2.1</f>
        <v>19.399999999999999</v>
      </c>
      <c r="H108" s="19"/>
      <c r="I108" s="4"/>
      <c r="J108" s="4"/>
      <c r="K108" s="4"/>
      <c r="L108" s="4"/>
      <c r="N108" s="44"/>
      <c r="O108" s="44"/>
      <c r="P108" s="44"/>
      <c r="Q108" s="44"/>
    </row>
    <row r="109" spans="1:17" ht="39.75" customHeight="1" x14ac:dyDescent="0.25">
      <c r="A109" s="12">
        <v>49</v>
      </c>
      <c r="B109" s="1"/>
      <c r="C109" s="16" t="s">
        <v>10</v>
      </c>
      <c r="D109" s="14" t="s">
        <v>121</v>
      </c>
      <c r="E109" s="19">
        <f t="shared" si="3"/>
        <v>101.8</v>
      </c>
      <c r="F109" s="19">
        <f>91.5+10+1.2-1+0.1</f>
        <v>101.8</v>
      </c>
      <c r="G109" s="19">
        <f>16.8+1-0.9</f>
        <v>16.900000000000002</v>
      </c>
      <c r="H109" s="19"/>
      <c r="I109" s="4"/>
      <c r="J109" s="4"/>
      <c r="K109" s="4"/>
      <c r="L109" s="4"/>
      <c r="N109" s="44"/>
      <c r="O109" s="44"/>
      <c r="P109" s="44"/>
      <c r="Q109" s="44"/>
    </row>
    <row r="110" spans="1:17" ht="39.6" customHeight="1" x14ac:dyDescent="0.25">
      <c r="A110" s="12">
        <v>50</v>
      </c>
      <c r="B110" s="1"/>
      <c r="C110" s="15" t="s">
        <v>12</v>
      </c>
      <c r="D110" s="14" t="s">
        <v>121</v>
      </c>
      <c r="E110" s="19">
        <f t="shared" si="3"/>
        <v>123.3</v>
      </c>
      <c r="F110" s="19">
        <f>83.9+3+35+2.6-1.4+0.2</f>
        <v>123.3</v>
      </c>
      <c r="G110" s="19">
        <f>21.3+2.9+2.5-1.3+0.2</f>
        <v>25.599999999999998</v>
      </c>
      <c r="H110" s="19"/>
      <c r="I110" s="4"/>
      <c r="J110" s="4"/>
      <c r="K110" s="4"/>
      <c r="L110" s="4"/>
      <c r="N110" s="44"/>
      <c r="O110" s="44"/>
      <c r="P110" s="44"/>
      <c r="Q110" s="44"/>
    </row>
    <row r="111" spans="1:17" ht="39.6" x14ac:dyDescent="0.25">
      <c r="A111" s="12">
        <v>51</v>
      </c>
      <c r="B111" s="1"/>
      <c r="C111" s="15" t="s">
        <v>11</v>
      </c>
      <c r="D111" s="14" t="s">
        <v>121</v>
      </c>
      <c r="E111" s="19">
        <f t="shared" si="3"/>
        <v>112.29999999999998</v>
      </c>
      <c r="F111" s="19">
        <f>92.6+20+0.5-0.4-0.4</f>
        <v>112.29999999999998</v>
      </c>
      <c r="G111" s="19">
        <f>19.2+0.5-0.6-0.4</f>
        <v>18.7</v>
      </c>
      <c r="H111" s="19"/>
      <c r="I111" s="4"/>
      <c r="J111" s="4"/>
      <c r="K111" s="4"/>
      <c r="L111" s="4"/>
      <c r="N111" s="44"/>
      <c r="O111" s="44"/>
      <c r="P111" s="44"/>
      <c r="Q111" s="44"/>
    </row>
    <row r="112" spans="1:17" ht="39.75" customHeight="1" x14ac:dyDescent="0.25">
      <c r="A112" s="12">
        <v>52</v>
      </c>
      <c r="B112" s="1"/>
      <c r="C112" s="15" t="s">
        <v>13</v>
      </c>
      <c r="D112" s="14" t="s">
        <v>121</v>
      </c>
      <c r="E112" s="19">
        <f t="shared" si="3"/>
        <v>87.600000000000009</v>
      </c>
      <c r="F112" s="19">
        <f>59.9+28-0.3</f>
        <v>87.600000000000009</v>
      </c>
      <c r="G112" s="19">
        <f>14.5-0.3</f>
        <v>14.2</v>
      </c>
      <c r="H112" s="19"/>
      <c r="I112" s="4"/>
      <c r="J112" s="4"/>
      <c r="K112" s="4"/>
      <c r="L112" s="4"/>
      <c r="N112" s="44"/>
      <c r="O112" s="44"/>
      <c r="P112" s="44"/>
      <c r="Q112" s="44"/>
    </row>
    <row r="113" spans="1:17" ht="39.75" customHeight="1" x14ac:dyDescent="0.25">
      <c r="A113" s="12">
        <v>53</v>
      </c>
      <c r="B113" s="1"/>
      <c r="C113" s="15" t="s">
        <v>14</v>
      </c>
      <c r="D113" s="14" t="s">
        <v>121</v>
      </c>
      <c r="E113" s="19">
        <f t="shared" si="3"/>
        <v>100.9</v>
      </c>
      <c r="F113" s="19">
        <f>97.2+3+2.7-2</f>
        <v>100.9</v>
      </c>
      <c r="G113" s="19">
        <f>37.5+2.6-1</f>
        <v>39.1</v>
      </c>
      <c r="H113" s="19"/>
      <c r="I113" s="4"/>
      <c r="J113" s="4"/>
      <c r="K113" s="4"/>
      <c r="L113" s="4"/>
      <c r="N113" s="44"/>
      <c r="O113" s="44"/>
      <c r="P113" s="44"/>
      <c r="Q113" s="44"/>
    </row>
    <row r="114" spans="1:17" ht="20.100000000000001" customHeight="1" x14ac:dyDescent="0.25">
      <c r="A114" s="12">
        <v>54</v>
      </c>
      <c r="B114" s="11" t="s">
        <v>82</v>
      </c>
      <c r="C114" s="17" t="s">
        <v>268</v>
      </c>
      <c r="D114" s="1"/>
      <c r="E114" s="93">
        <f>+F114+H114</f>
        <v>1542.9</v>
      </c>
      <c r="F114" s="93">
        <f>+F116+F131+F132+F133+F134+F135+F136+F137+F138+F139+F130+F115</f>
        <v>1474.8000000000002</v>
      </c>
      <c r="G114" s="93">
        <f>+G116+G131+G132+G133+G134+G135+G136+G137+G138+G139+G130+G115</f>
        <v>554.9</v>
      </c>
      <c r="H114" s="93">
        <f>+H116+H131+H132+H133+H134+H135+H136+H137+H138+H139+H130+H115</f>
        <v>68.099999999999994</v>
      </c>
      <c r="I114" s="4"/>
      <c r="J114" s="4"/>
      <c r="K114" s="4"/>
      <c r="L114" s="4"/>
      <c r="N114" s="44"/>
      <c r="O114" s="44"/>
      <c r="P114" s="44"/>
      <c r="Q114" s="44"/>
    </row>
    <row r="115" spans="1:17" ht="15" customHeight="1" x14ac:dyDescent="0.25">
      <c r="A115" s="12">
        <v>55</v>
      </c>
      <c r="B115" s="1"/>
      <c r="C115" s="23" t="s">
        <v>119</v>
      </c>
      <c r="D115" s="1" t="s">
        <v>83</v>
      </c>
      <c r="E115" s="47">
        <f>+F115+H115</f>
        <v>729.30000000000007</v>
      </c>
      <c r="F115" s="19">
        <f>651.2+18.1+29+10.3+20.7</f>
        <v>729.30000000000007</v>
      </c>
      <c r="G115" s="19">
        <f>438.9+28.4+20.7</f>
        <v>487.99999999999994</v>
      </c>
      <c r="H115" s="99"/>
      <c r="I115" s="4"/>
      <c r="J115" s="4"/>
      <c r="K115" s="4"/>
      <c r="L115" s="4"/>
      <c r="N115" s="44"/>
      <c r="O115" s="44"/>
      <c r="P115" s="44"/>
      <c r="Q115" s="44"/>
    </row>
    <row r="116" spans="1:17" ht="12.6" customHeight="1" x14ac:dyDescent="0.25">
      <c r="A116" s="12">
        <v>56</v>
      </c>
      <c r="B116" s="11"/>
      <c r="C116" s="16" t="s">
        <v>211</v>
      </c>
      <c r="D116" s="1"/>
      <c r="E116" s="19">
        <f>+F116+H116</f>
        <v>789.80000000000007</v>
      </c>
      <c r="F116" s="19">
        <f>+F117+F118+F123+F125+F124</f>
        <v>721.7</v>
      </c>
      <c r="G116" s="19">
        <f>+G117+G118+G123+G125+G124</f>
        <v>44</v>
      </c>
      <c r="H116" s="19">
        <f>+H117+H118+H123+H125+H124</f>
        <v>68.099999999999994</v>
      </c>
      <c r="I116" s="4"/>
      <c r="J116" s="4"/>
      <c r="K116" s="4"/>
      <c r="L116" s="4"/>
      <c r="N116" s="44"/>
      <c r="O116" s="44"/>
      <c r="P116" s="44"/>
      <c r="Q116" s="44"/>
    </row>
    <row r="117" spans="1:17" ht="14.25" customHeight="1" x14ac:dyDescent="0.25">
      <c r="A117" s="37" t="s">
        <v>205</v>
      </c>
      <c r="B117" s="1"/>
      <c r="C117" s="16" t="s">
        <v>3</v>
      </c>
      <c r="D117" s="1" t="s">
        <v>143</v>
      </c>
      <c r="E117" s="19">
        <f t="shared" ref="E117:E169" si="4">+F117+H117</f>
        <v>76.099999999999994</v>
      </c>
      <c r="F117" s="19">
        <f>75.5+0.6</f>
        <v>76.099999999999994</v>
      </c>
      <c r="G117" s="19">
        <f>43.4+0.6</f>
        <v>44</v>
      </c>
      <c r="H117" s="19"/>
      <c r="I117" s="4"/>
      <c r="J117" s="4"/>
      <c r="K117" s="4"/>
      <c r="L117" s="4"/>
      <c r="N117" s="44"/>
      <c r="O117" s="44"/>
      <c r="P117" s="44"/>
      <c r="Q117" s="44"/>
    </row>
    <row r="118" spans="1:17" ht="14.25" customHeight="1" x14ac:dyDescent="0.25">
      <c r="A118" s="195" t="s">
        <v>206</v>
      </c>
      <c r="B118" s="182"/>
      <c r="C118" s="106" t="s">
        <v>257</v>
      </c>
      <c r="D118" s="182" t="s">
        <v>83</v>
      </c>
      <c r="E118" s="19">
        <f t="shared" si="4"/>
        <v>480</v>
      </c>
      <c r="F118" s="19">
        <f>+F119+F120+F121+F122</f>
        <v>480</v>
      </c>
      <c r="G118" s="19">
        <f>+G119+G120+G121+G122</f>
        <v>0</v>
      </c>
      <c r="H118" s="19">
        <f>+H119+H120+H121+H122</f>
        <v>0</v>
      </c>
      <c r="I118" s="4"/>
      <c r="J118" s="4"/>
      <c r="K118" s="4"/>
      <c r="L118" s="4"/>
      <c r="N118" s="44"/>
      <c r="O118" s="44"/>
      <c r="P118" s="44"/>
      <c r="Q118" s="44"/>
    </row>
    <row r="119" spans="1:17" x14ac:dyDescent="0.25">
      <c r="A119" s="195"/>
      <c r="B119" s="182"/>
      <c r="C119" s="112" t="s">
        <v>407</v>
      </c>
      <c r="D119" s="182"/>
      <c r="E119" s="19">
        <f t="shared" si="4"/>
        <v>200</v>
      </c>
      <c r="F119" s="19">
        <v>200</v>
      </c>
      <c r="G119" s="19"/>
      <c r="H119" s="19"/>
      <c r="I119" s="4"/>
      <c r="J119" s="4"/>
      <c r="K119" s="4"/>
      <c r="L119" s="4"/>
      <c r="N119" s="44"/>
      <c r="O119" s="44"/>
      <c r="P119" s="44"/>
      <c r="Q119" s="44"/>
    </row>
    <row r="120" spans="1:17" ht="13.5" customHeight="1" x14ac:dyDescent="0.25">
      <c r="A120" s="195"/>
      <c r="B120" s="182"/>
      <c r="C120" s="112" t="s">
        <v>273</v>
      </c>
      <c r="D120" s="182"/>
      <c r="E120" s="19">
        <f t="shared" si="4"/>
        <v>180</v>
      </c>
      <c r="F120" s="19">
        <v>180</v>
      </c>
      <c r="G120" s="19"/>
      <c r="H120" s="19"/>
      <c r="I120" s="4"/>
      <c r="J120" s="4"/>
      <c r="K120" s="4"/>
      <c r="L120" s="4"/>
      <c r="N120" s="44"/>
      <c r="O120" s="44"/>
      <c r="P120" s="44"/>
      <c r="Q120" s="44"/>
    </row>
    <row r="121" spans="1:17" ht="13.5" customHeight="1" x14ac:dyDescent="0.25">
      <c r="A121" s="195"/>
      <c r="B121" s="182"/>
      <c r="C121" s="112" t="s">
        <v>274</v>
      </c>
      <c r="D121" s="182"/>
      <c r="E121" s="19">
        <f t="shared" si="4"/>
        <v>15</v>
      </c>
      <c r="F121" s="19">
        <v>15</v>
      </c>
      <c r="G121" s="19"/>
      <c r="H121" s="19"/>
      <c r="I121" s="4"/>
      <c r="J121" s="4"/>
      <c r="K121" s="4"/>
      <c r="L121" s="4"/>
      <c r="N121" s="44"/>
      <c r="O121" s="44"/>
      <c r="P121" s="44"/>
      <c r="Q121" s="44"/>
    </row>
    <row r="122" spans="1:17" ht="26.25" customHeight="1" x14ac:dyDescent="0.25">
      <c r="A122" s="195"/>
      <c r="B122" s="182"/>
      <c r="C122" s="112" t="s">
        <v>275</v>
      </c>
      <c r="D122" s="182"/>
      <c r="E122" s="19">
        <f t="shared" si="4"/>
        <v>85</v>
      </c>
      <c r="F122" s="19">
        <v>85</v>
      </c>
      <c r="G122" s="19"/>
      <c r="H122" s="19"/>
      <c r="I122" s="4"/>
      <c r="J122" s="4"/>
      <c r="K122" s="4"/>
      <c r="L122" s="4"/>
      <c r="N122" s="44"/>
      <c r="O122" s="44"/>
      <c r="P122" s="44"/>
      <c r="Q122" s="44"/>
    </row>
    <row r="123" spans="1:17" x14ac:dyDescent="0.25">
      <c r="A123" s="37" t="s">
        <v>207</v>
      </c>
      <c r="B123" s="1"/>
      <c r="C123" s="106" t="s">
        <v>258</v>
      </c>
      <c r="D123" s="1" t="s">
        <v>83</v>
      </c>
      <c r="E123" s="19">
        <f t="shared" si="4"/>
        <v>35</v>
      </c>
      <c r="F123" s="19">
        <v>35</v>
      </c>
      <c r="G123" s="19"/>
      <c r="H123" s="19"/>
      <c r="I123" s="4"/>
      <c r="J123" s="4"/>
      <c r="K123" s="4"/>
      <c r="L123" s="4"/>
      <c r="N123" s="44"/>
      <c r="O123" s="44"/>
      <c r="P123" s="44"/>
      <c r="Q123" s="44"/>
    </row>
    <row r="124" spans="1:17" ht="40.950000000000003" customHeight="1" x14ac:dyDescent="0.25">
      <c r="A124" s="37" t="s">
        <v>485</v>
      </c>
      <c r="B124" s="1"/>
      <c r="C124" s="106" t="s">
        <v>408</v>
      </c>
      <c r="D124" s="1" t="s">
        <v>83</v>
      </c>
      <c r="E124" s="19">
        <f t="shared" si="4"/>
        <v>0</v>
      </c>
      <c r="F124" s="19">
        <f>10.3-10.3</f>
        <v>0</v>
      </c>
      <c r="G124" s="19"/>
      <c r="H124" s="19"/>
      <c r="I124" s="4"/>
      <c r="J124" s="4"/>
      <c r="K124" s="4"/>
      <c r="L124" s="4"/>
      <c r="N124" s="44"/>
      <c r="O124" s="44"/>
      <c r="P124" s="44"/>
      <c r="Q124" s="44"/>
    </row>
    <row r="125" spans="1:17" ht="42" customHeight="1" x14ac:dyDescent="0.25">
      <c r="A125" s="37" t="s">
        <v>208</v>
      </c>
      <c r="B125" s="1"/>
      <c r="C125" s="102" t="s">
        <v>392</v>
      </c>
      <c r="D125" s="11"/>
      <c r="E125" s="108">
        <f>+F125+H125</f>
        <v>198.7</v>
      </c>
      <c r="F125" s="108">
        <f>+F126+F127+F128+F129</f>
        <v>130.6</v>
      </c>
      <c r="G125" s="108">
        <f>+G126+G127+G128+G129</f>
        <v>0</v>
      </c>
      <c r="H125" s="108">
        <f>+H126+H127+H128+H129</f>
        <v>68.099999999999994</v>
      </c>
      <c r="I125" s="4"/>
      <c r="J125" s="113"/>
      <c r="K125" s="113"/>
      <c r="L125" s="113"/>
      <c r="N125" s="44"/>
      <c r="O125" s="44"/>
      <c r="P125" s="44"/>
      <c r="Q125" s="44"/>
    </row>
    <row r="126" spans="1:17" ht="26.4" x14ac:dyDescent="0.25">
      <c r="A126" s="37" t="s">
        <v>270</v>
      </c>
      <c r="B126" s="1"/>
      <c r="C126" s="15" t="s">
        <v>204</v>
      </c>
      <c r="D126" s="1" t="s">
        <v>67</v>
      </c>
      <c r="E126" s="19">
        <f t="shared" si="4"/>
        <v>60.5</v>
      </c>
      <c r="F126" s="19">
        <f>2</f>
        <v>2</v>
      </c>
      <c r="G126" s="19"/>
      <c r="H126" s="19">
        <v>58.5</v>
      </c>
      <c r="I126" s="4"/>
      <c r="J126" s="4"/>
      <c r="K126" s="4"/>
      <c r="L126" s="4"/>
      <c r="N126" s="44"/>
      <c r="O126" s="44"/>
      <c r="P126" s="44"/>
      <c r="Q126" s="44"/>
    </row>
    <row r="127" spans="1:17" ht="26.4" x14ac:dyDescent="0.25">
      <c r="A127" s="37" t="s">
        <v>223</v>
      </c>
      <c r="B127" s="1"/>
      <c r="C127" s="15" t="s">
        <v>259</v>
      </c>
      <c r="D127" s="1" t="s">
        <v>66</v>
      </c>
      <c r="E127" s="19">
        <f t="shared" si="4"/>
        <v>9.6</v>
      </c>
      <c r="F127" s="19"/>
      <c r="G127" s="19"/>
      <c r="H127" s="19">
        <f>10-0.4</f>
        <v>9.6</v>
      </c>
      <c r="I127" s="4"/>
      <c r="J127" s="4"/>
      <c r="K127" s="4"/>
      <c r="L127" s="4"/>
      <c r="N127" s="44"/>
      <c r="O127" s="44"/>
      <c r="P127" s="44"/>
      <c r="Q127" s="44"/>
    </row>
    <row r="128" spans="1:17" ht="39.6" x14ac:dyDescent="0.25">
      <c r="A128" s="37" t="s">
        <v>486</v>
      </c>
      <c r="B128" s="1"/>
      <c r="C128" s="15" t="s">
        <v>414</v>
      </c>
      <c r="D128" s="36" t="s">
        <v>83</v>
      </c>
      <c r="E128" s="19">
        <f t="shared" si="4"/>
        <v>113.6</v>
      </c>
      <c r="F128" s="19">
        <f>120-18.4+12</f>
        <v>113.6</v>
      </c>
      <c r="G128" s="19"/>
      <c r="H128" s="19"/>
      <c r="I128" s="4"/>
      <c r="J128" s="4"/>
      <c r="K128" s="4"/>
      <c r="L128" s="4"/>
      <c r="N128" s="44"/>
      <c r="O128" s="44"/>
      <c r="P128" s="44"/>
      <c r="Q128" s="44"/>
    </row>
    <row r="129" spans="1:17" ht="39.6" x14ac:dyDescent="0.25">
      <c r="A129" s="37" t="s">
        <v>487</v>
      </c>
      <c r="B129" s="1"/>
      <c r="C129" s="15" t="s">
        <v>415</v>
      </c>
      <c r="D129" s="1" t="s">
        <v>83</v>
      </c>
      <c r="E129" s="19">
        <f t="shared" si="4"/>
        <v>15</v>
      </c>
      <c r="F129" s="19">
        <v>15</v>
      </c>
      <c r="G129" s="19"/>
      <c r="H129" s="19"/>
      <c r="I129" s="4"/>
      <c r="J129" s="4"/>
      <c r="K129" s="4"/>
      <c r="L129" s="4"/>
      <c r="N129" s="44"/>
      <c r="O129" s="44"/>
      <c r="P129" s="44"/>
      <c r="Q129" s="44"/>
    </row>
    <row r="130" spans="1:17" ht="26.4" x14ac:dyDescent="0.25">
      <c r="A130" s="12">
        <v>57</v>
      </c>
      <c r="B130" s="1"/>
      <c r="C130" s="15" t="s">
        <v>4</v>
      </c>
      <c r="D130" s="1" t="s">
        <v>83</v>
      </c>
      <c r="E130" s="19">
        <f>+F130+H130</f>
        <v>0</v>
      </c>
      <c r="F130" s="19">
        <f>1+1-2</f>
        <v>0</v>
      </c>
      <c r="G130" s="19">
        <f>1+1-2</f>
        <v>0</v>
      </c>
      <c r="H130" s="19"/>
      <c r="I130" s="4"/>
      <c r="J130" s="4"/>
      <c r="K130" s="4"/>
      <c r="L130" s="4"/>
      <c r="N130" s="44"/>
      <c r="O130" s="44"/>
      <c r="P130" s="44"/>
      <c r="Q130" s="44"/>
    </row>
    <row r="131" spans="1:17" ht="27" customHeight="1" x14ac:dyDescent="0.25">
      <c r="A131" s="12">
        <v>58</v>
      </c>
      <c r="B131" s="1"/>
      <c r="C131" s="15" t="s">
        <v>5</v>
      </c>
      <c r="D131" s="1" t="s">
        <v>83</v>
      </c>
      <c r="E131" s="19">
        <f t="shared" si="4"/>
        <v>2.9000000000000004</v>
      </c>
      <c r="F131" s="19">
        <f>2.5+0.2+0.2</f>
        <v>2.9000000000000004</v>
      </c>
      <c r="G131" s="19">
        <f>2.4+0.2+0.2</f>
        <v>2.8000000000000003</v>
      </c>
      <c r="H131" s="19"/>
      <c r="I131" s="4"/>
      <c r="J131" s="4"/>
      <c r="K131" s="4"/>
      <c r="L131" s="4"/>
      <c r="N131" s="44"/>
      <c r="O131" s="44"/>
      <c r="P131" s="44"/>
      <c r="Q131" s="44"/>
    </row>
    <row r="132" spans="1:17" ht="27" customHeight="1" x14ac:dyDescent="0.25">
      <c r="A132" s="12">
        <v>59</v>
      </c>
      <c r="B132" s="1"/>
      <c r="C132" s="16" t="s">
        <v>7</v>
      </c>
      <c r="D132" s="1" t="s">
        <v>83</v>
      </c>
      <c r="E132" s="19">
        <f t="shared" si="4"/>
        <v>2.7</v>
      </c>
      <c r="F132" s="19">
        <f>2.2+0.5</f>
        <v>2.7</v>
      </c>
      <c r="G132" s="19">
        <f>2.1+0.5</f>
        <v>2.6</v>
      </c>
      <c r="H132" s="19"/>
      <c r="I132" s="4"/>
      <c r="J132" s="4"/>
      <c r="K132" s="4"/>
      <c r="L132" s="4"/>
      <c r="N132" s="44"/>
      <c r="O132" s="44"/>
      <c r="P132" s="44"/>
      <c r="Q132" s="44"/>
    </row>
    <row r="133" spans="1:17" ht="26.25" customHeight="1" x14ac:dyDescent="0.25">
      <c r="A133" s="12">
        <v>60</v>
      </c>
      <c r="B133" s="1"/>
      <c r="C133" s="15" t="s">
        <v>6</v>
      </c>
      <c r="D133" s="1" t="s">
        <v>83</v>
      </c>
      <c r="E133" s="19">
        <f t="shared" si="4"/>
        <v>2.7</v>
      </c>
      <c r="F133" s="19">
        <f>2.5+0.2</f>
        <v>2.7</v>
      </c>
      <c r="G133" s="19">
        <f>2.4+0.2</f>
        <v>2.6</v>
      </c>
      <c r="H133" s="19"/>
      <c r="I133" s="4"/>
      <c r="J133" s="4"/>
      <c r="K133" s="4"/>
      <c r="L133" s="4"/>
      <c r="N133" s="44"/>
      <c r="O133" s="44"/>
      <c r="P133" s="44"/>
      <c r="Q133" s="44"/>
    </row>
    <row r="134" spans="1:17" ht="27.75" customHeight="1" x14ac:dyDescent="0.25">
      <c r="A134" s="12">
        <v>61</v>
      </c>
      <c r="B134" s="1"/>
      <c r="C134" s="15" t="s">
        <v>9</v>
      </c>
      <c r="D134" s="1" t="s">
        <v>83</v>
      </c>
      <c r="E134" s="19">
        <f t="shared" si="4"/>
        <v>2.8</v>
      </c>
      <c r="F134" s="19">
        <f>2.5+0.3</f>
        <v>2.8</v>
      </c>
      <c r="G134" s="19">
        <f>2.4+0.3</f>
        <v>2.6999999999999997</v>
      </c>
      <c r="H134" s="19"/>
      <c r="I134" s="4"/>
      <c r="J134" s="4"/>
      <c r="K134" s="4"/>
      <c r="L134" s="4"/>
      <c r="N134" s="44"/>
      <c r="O134" s="44"/>
      <c r="P134" s="44"/>
      <c r="Q134" s="44"/>
    </row>
    <row r="135" spans="1:17" ht="26.25" customHeight="1" x14ac:dyDescent="0.25">
      <c r="A135" s="12">
        <v>62</v>
      </c>
      <c r="B135" s="1"/>
      <c r="C135" s="16" t="s">
        <v>10</v>
      </c>
      <c r="D135" s="1" t="s">
        <v>83</v>
      </c>
      <c r="E135" s="19">
        <f t="shared" si="4"/>
        <v>2.5</v>
      </c>
      <c r="F135" s="19">
        <v>2.5</v>
      </c>
      <c r="G135" s="19">
        <v>2.4</v>
      </c>
      <c r="H135" s="19"/>
      <c r="I135" s="4"/>
      <c r="J135" s="4"/>
      <c r="K135" s="4"/>
      <c r="L135" s="4"/>
      <c r="N135" s="44"/>
      <c r="O135" s="44"/>
      <c r="P135" s="44"/>
      <c r="Q135" s="44"/>
    </row>
    <row r="136" spans="1:17" ht="27" customHeight="1" x14ac:dyDescent="0.25">
      <c r="A136" s="12">
        <v>63</v>
      </c>
      <c r="B136" s="1"/>
      <c r="C136" s="15" t="s">
        <v>12</v>
      </c>
      <c r="D136" s="1" t="s">
        <v>83</v>
      </c>
      <c r="E136" s="19">
        <f t="shared" si="4"/>
        <v>2.5</v>
      </c>
      <c r="F136" s="19">
        <f>2.4+0.1</f>
        <v>2.5</v>
      </c>
      <c r="G136" s="19">
        <f>2.3+0.1</f>
        <v>2.4</v>
      </c>
      <c r="H136" s="19"/>
      <c r="I136" s="4"/>
      <c r="J136" s="4"/>
      <c r="K136" s="4"/>
      <c r="L136" s="4"/>
      <c r="N136" s="44"/>
      <c r="O136" s="44"/>
      <c r="P136" s="44"/>
      <c r="Q136" s="44"/>
    </row>
    <row r="137" spans="1:17" ht="29.25" customHeight="1" x14ac:dyDescent="0.25">
      <c r="A137" s="12">
        <v>64</v>
      </c>
      <c r="B137" s="1"/>
      <c r="C137" s="15" t="s">
        <v>125</v>
      </c>
      <c r="D137" s="1" t="s">
        <v>83</v>
      </c>
      <c r="E137" s="19">
        <f t="shared" si="4"/>
        <v>2.5999999999999996</v>
      </c>
      <c r="F137" s="19">
        <f>2.3+0.3</f>
        <v>2.5999999999999996</v>
      </c>
      <c r="G137" s="19">
        <f>2.2+0.3</f>
        <v>2.5</v>
      </c>
      <c r="H137" s="19"/>
      <c r="I137" s="4"/>
      <c r="J137" s="4"/>
      <c r="K137" s="4"/>
      <c r="L137" s="4"/>
      <c r="N137" s="44"/>
      <c r="O137" s="44"/>
      <c r="P137" s="44"/>
      <c r="Q137" s="44"/>
    </row>
    <row r="138" spans="1:17" ht="30.6" customHeight="1" x14ac:dyDescent="0.25">
      <c r="A138" s="12">
        <v>65</v>
      </c>
      <c r="B138" s="1"/>
      <c r="C138" s="15" t="s">
        <v>13</v>
      </c>
      <c r="D138" s="1" t="s">
        <v>83</v>
      </c>
      <c r="E138" s="19">
        <f t="shared" si="4"/>
        <v>2.4</v>
      </c>
      <c r="F138" s="19">
        <f>2.5-0.1</f>
        <v>2.4</v>
      </c>
      <c r="G138" s="19">
        <f>2.4-0.1</f>
        <v>2.2999999999999998</v>
      </c>
      <c r="H138" s="19"/>
      <c r="I138" s="4"/>
      <c r="J138" s="4"/>
      <c r="K138" s="4"/>
      <c r="L138" s="4"/>
      <c r="N138" s="44"/>
      <c r="O138" s="44"/>
      <c r="P138" s="44"/>
      <c r="Q138" s="44"/>
    </row>
    <row r="139" spans="1:17" ht="29.25" customHeight="1" x14ac:dyDescent="0.25">
      <c r="A139" s="12">
        <v>66</v>
      </c>
      <c r="B139" s="1"/>
      <c r="C139" s="15" t="s">
        <v>14</v>
      </c>
      <c r="D139" s="1" t="s">
        <v>83</v>
      </c>
      <c r="E139" s="19">
        <f t="shared" si="4"/>
        <v>2.7</v>
      </c>
      <c r="F139" s="19">
        <f>2.4+0.2+0.1</f>
        <v>2.7</v>
      </c>
      <c r="G139" s="19">
        <f>2.3+0.2+0.1</f>
        <v>2.6</v>
      </c>
      <c r="H139" s="19"/>
      <c r="I139" s="4"/>
      <c r="J139" s="4"/>
      <c r="K139" s="4"/>
      <c r="L139" s="4"/>
      <c r="N139" s="44"/>
      <c r="O139" s="44"/>
      <c r="P139" s="44"/>
      <c r="Q139" s="44"/>
    </row>
    <row r="140" spans="1:17" ht="24.75" customHeight="1" x14ac:dyDescent="0.25">
      <c r="A140" s="12">
        <v>67</v>
      </c>
      <c r="B140" s="11" t="s">
        <v>84</v>
      </c>
      <c r="C140" s="17" t="s">
        <v>85</v>
      </c>
      <c r="D140" s="9"/>
      <c r="E140" s="93">
        <f>+F140+H140</f>
        <v>3705.3999999999992</v>
      </c>
      <c r="F140" s="93">
        <f>+F141+F142+F143+F144+F145+F146+F147+F148+F151+F162</f>
        <v>3246.6999999999994</v>
      </c>
      <c r="G140" s="93">
        <f>+G141+G142+G143+G144+G145+G146+G147+G148+G151+G162</f>
        <v>2417.9</v>
      </c>
      <c r="H140" s="93">
        <f>+H141+H142+H143+H144+H145+H146+H147+H148+H151+H162</f>
        <v>458.69999999999993</v>
      </c>
      <c r="I140" s="4"/>
      <c r="J140" s="4"/>
      <c r="K140" s="4"/>
      <c r="L140" s="4"/>
      <c r="N140" s="44"/>
      <c r="O140" s="44"/>
      <c r="P140" s="44"/>
      <c r="Q140" s="44"/>
    </row>
    <row r="141" spans="1:17" ht="15" customHeight="1" x14ac:dyDescent="0.25">
      <c r="A141" s="12">
        <v>68</v>
      </c>
      <c r="B141" s="1"/>
      <c r="C141" s="23" t="s">
        <v>48</v>
      </c>
      <c r="D141" s="1" t="s">
        <v>86</v>
      </c>
      <c r="E141" s="19">
        <f>+F141+H141</f>
        <v>699.8</v>
      </c>
      <c r="F141" s="19">
        <f>630.8+8.8+3.3+32.2+24.7</f>
        <v>699.8</v>
      </c>
      <c r="G141" s="19">
        <f>486.5+31.5+20</f>
        <v>538</v>
      </c>
      <c r="H141" s="19"/>
      <c r="I141" s="4"/>
      <c r="J141" s="4"/>
      <c r="K141" s="4"/>
      <c r="L141" s="4"/>
      <c r="N141" s="44"/>
      <c r="O141" s="44"/>
      <c r="P141" s="44"/>
      <c r="Q141" s="44"/>
    </row>
    <row r="142" spans="1:17" ht="15" customHeight="1" x14ac:dyDescent="0.25">
      <c r="A142" s="12">
        <v>69</v>
      </c>
      <c r="B142" s="1"/>
      <c r="C142" s="110" t="s">
        <v>53</v>
      </c>
      <c r="D142" s="1" t="s">
        <v>86</v>
      </c>
      <c r="E142" s="19">
        <f t="shared" si="4"/>
        <v>222</v>
      </c>
      <c r="F142" s="19">
        <f>200.9+2.6+10.9-9.7+0.7</f>
        <v>205.4</v>
      </c>
      <c r="G142" s="19">
        <f>162.9+10.6+0.7</f>
        <v>174.2</v>
      </c>
      <c r="H142" s="19">
        <f>9.7+6.9</f>
        <v>16.600000000000001</v>
      </c>
      <c r="I142" s="4"/>
      <c r="J142" s="4"/>
      <c r="K142" s="4"/>
      <c r="L142" s="4"/>
      <c r="N142" s="44"/>
      <c r="O142" s="44"/>
      <c r="P142" s="44"/>
      <c r="Q142" s="44"/>
    </row>
    <row r="143" spans="1:17" ht="15" customHeight="1" x14ac:dyDescent="0.25">
      <c r="A143" s="12">
        <v>70</v>
      </c>
      <c r="B143" s="1"/>
      <c r="C143" s="110" t="s">
        <v>54</v>
      </c>
      <c r="D143" s="1" t="s">
        <v>86</v>
      </c>
      <c r="E143" s="19">
        <f t="shared" si="4"/>
        <v>161.70000000000002</v>
      </c>
      <c r="F143" s="19">
        <f>147.1+2+7.3+5.3</f>
        <v>161.70000000000002</v>
      </c>
      <c r="G143" s="19">
        <f>111.3+7.2+5.2</f>
        <v>123.7</v>
      </c>
      <c r="H143" s="19"/>
      <c r="I143" s="4"/>
      <c r="J143" s="4"/>
      <c r="K143" s="4"/>
      <c r="L143" s="4"/>
      <c r="N143" s="44"/>
      <c r="O143" s="44"/>
      <c r="P143" s="44"/>
      <c r="Q143" s="44"/>
    </row>
    <row r="144" spans="1:17" ht="15" customHeight="1" x14ac:dyDescent="0.25">
      <c r="A144" s="12">
        <v>71</v>
      </c>
      <c r="B144" s="1"/>
      <c r="C144" s="110" t="s">
        <v>49</v>
      </c>
      <c r="D144" s="1" t="s">
        <v>86</v>
      </c>
      <c r="E144" s="19">
        <f t="shared" si="4"/>
        <v>142.79999999999998</v>
      </c>
      <c r="F144" s="19">
        <f>127+1.2+2.5+6.5+1+4.6</f>
        <v>142.79999999999998</v>
      </c>
      <c r="G144" s="19">
        <f>98+2.5+6.4+2.5+4.5</f>
        <v>113.9</v>
      </c>
      <c r="H144" s="19"/>
      <c r="I144" s="4"/>
      <c r="J144" s="4"/>
      <c r="K144" s="4"/>
      <c r="L144" s="4"/>
      <c r="N144" s="44"/>
      <c r="O144" s="44"/>
      <c r="P144" s="44"/>
      <c r="Q144" s="44"/>
    </row>
    <row r="145" spans="1:17" ht="15" customHeight="1" x14ac:dyDescent="0.25">
      <c r="A145" s="12">
        <v>72</v>
      </c>
      <c r="B145" s="1"/>
      <c r="C145" s="110" t="s">
        <v>55</v>
      </c>
      <c r="D145" s="1" t="s">
        <v>86</v>
      </c>
      <c r="E145" s="19">
        <f t="shared" si="4"/>
        <v>99.499999999999986</v>
      </c>
      <c r="F145" s="19">
        <f>90.8+5.1+3.6</f>
        <v>99.499999999999986</v>
      </c>
      <c r="G145" s="19">
        <f>77.4+5+2.2</f>
        <v>84.600000000000009</v>
      </c>
      <c r="H145" s="19"/>
      <c r="I145" s="4"/>
      <c r="J145" s="4"/>
      <c r="K145" s="4"/>
      <c r="L145" s="4"/>
      <c r="N145" s="44"/>
      <c r="O145" s="44"/>
      <c r="P145" s="44"/>
      <c r="Q145" s="44"/>
    </row>
    <row r="146" spans="1:17" ht="15" customHeight="1" x14ac:dyDescent="0.25">
      <c r="A146" s="12">
        <v>73</v>
      </c>
      <c r="B146" s="1"/>
      <c r="C146" s="110" t="s">
        <v>56</v>
      </c>
      <c r="D146" s="1" t="s">
        <v>86</v>
      </c>
      <c r="E146" s="19">
        <f t="shared" si="4"/>
        <v>92.8</v>
      </c>
      <c r="F146" s="19">
        <f>84.5+0.5+4.6+3.2</f>
        <v>92.8</v>
      </c>
      <c r="G146" s="19">
        <f>68.8+4.4</f>
        <v>73.2</v>
      </c>
      <c r="H146" s="19"/>
      <c r="I146" s="4"/>
      <c r="J146" s="4"/>
      <c r="K146" s="4"/>
      <c r="L146" s="4"/>
      <c r="N146" s="44"/>
      <c r="O146" s="44"/>
      <c r="P146" s="44"/>
      <c r="Q146" s="44"/>
    </row>
    <row r="147" spans="1:17" ht="26.25" customHeight="1" x14ac:dyDescent="0.25">
      <c r="A147" s="12">
        <v>74</v>
      </c>
      <c r="B147" s="1"/>
      <c r="C147" s="15" t="s">
        <v>57</v>
      </c>
      <c r="D147" s="1" t="s">
        <v>87</v>
      </c>
      <c r="E147" s="19">
        <f t="shared" si="4"/>
        <v>973.69999999999993</v>
      </c>
      <c r="F147" s="19">
        <f>881.3+6+50.4+36</f>
        <v>973.69999999999993</v>
      </c>
      <c r="G147" s="19">
        <f>763.4+49.4+10</f>
        <v>822.8</v>
      </c>
      <c r="H147" s="19"/>
      <c r="I147" s="4"/>
      <c r="J147" s="4"/>
      <c r="K147" s="4"/>
      <c r="L147" s="4"/>
      <c r="N147" s="44"/>
      <c r="O147" s="44"/>
      <c r="P147" s="44"/>
      <c r="Q147" s="44"/>
    </row>
    <row r="148" spans="1:17" ht="17.25" customHeight="1" x14ac:dyDescent="0.25">
      <c r="A148" s="191">
        <v>75</v>
      </c>
      <c r="B148" s="193"/>
      <c r="C148" s="110" t="s">
        <v>47</v>
      </c>
      <c r="D148" s="182" t="s">
        <v>88</v>
      </c>
      <c r="E148" s="19">
        <f t="shared" si="4"/>
        <v>527.5</v>
      </c>
      <c r="F148" s="19">
        <f>441.9+4.5+23.6-5.3+F150+5.7+16.8</f>
        <v>487.2</v>
      </c>
      <c r="G148" s="19">
        <f>356.8+23.1+12.3+G150+5.7+16.5</f>
        <v>414.40000000000003</v>
      </c>
      <c r="H148" s="19">
        <f>5.3+H150</f>
        <v>40.299999999999997</v>
      </c>
      <c r="I148" s="4"/>
      <c r="J148" s="4"/>
      <c r="K148" s="4"/>
      <c r="L148" s="4"/>
      <c r="N148" s="44"/>
      <c r="O148" s="44"/>
      <c r="P148" s="44"/>
      <c r="Q148" s="44"/>
    </row>
    <row r="149" spans="1:17" ht="26.4" x14ac:dyDescent="0.25">
      <c r="A149" s="196"/>
      <c r="B149" s="197"/>
      <c r="C149" s="100" t="s">
        <v>409</v>
      </c>
      <c r="D149" s="182"/>
      <c r="E149" s="19">
        <f t="shared" si="4"/>
        <v>20</v>
      </c>
      <c r="F149" s="19">
        <v>20</v>
      </c>
      <c r="G149" s="19"/>
      <c r="H149" s="19"/>
      <c r="I149" s="4"/>
      <c r="J149" s="4"/>
      <c r="K149" s="4"/>
      <c r="L149" s="4"/>
      <c r="N149" s="44"/>
      <c r="O149" s="44"/>
      <c r="P149" s="44"/>
      <c r="Q149" s="44"/>
    </row>
    <row r="150" spans="1:17" x14ac:dyDescent="0.25">
      <c r="A150" s="192"/>
      <c r="B150" s="194"/>
      <c r="C150" s="100" t="s">
        <v>792</v>
      </c>
      <c r="D150" s="1" t="s">
        <v>136</v>
      </c>
      <c r="E150" s="19">
        <f t="shared" si="4"/>
        <v>35</v>
      </c>
      <c r="F150" s="19"/>
      <c r="G150" s="19"/>
      <c r="H150" s="19">
        <v>35</v>
      </c>
      <c r="I150" s="4"/>
      <c r="J150" s="4"/>
      <c r="K150" s="4"/>
      <c r="L150" s="4"/>
      <c r="N150" s="44"/>
      <c r="O150" s="44"/>
      <c r="P150" s="44"/>
      <c r="Q150" s="44"/>
    </row>
    <row r="151" spans="1:17" ht="12.6" customHeight="1" x14ac:dyDescent="0.25">
      <c r="A151" s="12">
        <v>76</v>
      </c>
      <c r="B151" s="1"/>
      <c r="C151" s="16" t="s">
        <v>211</v>
      </c>
      <c r="D151" s="1"/>
      <c r="E151" s="19">
        <f>+F151+H151</f>
        <v>779.39999999999986</v>
      </c>
      <c r="F151" s="19">
        <f>+F152+F153+F154+F155</f>
        <v>377.59999999999997</v>
      </c>
      <c r="G151" s="19">
        <f>+G152+G153+G154+G156+G157+G155</f>
        <v>67</v>
      </c>
      <c r="H151" s="19">
        <f>+H152+H153+H154+H156+H157+H155</f>
        <v>401.79999999999995</v>
      </c>
      <c r="I151" s="4"/>
      <c r="J151" s="4"/>
      <c r="K151" s="4"/>
      <c r="L151" s="4"/>
      <c r="N151" s="44"/>
      <c r="O151" s="44"/>
      <c r="P151" s="44"/>
      <c r="Q151" s="44"/>
    </row>
    <row r="152" spans="1:17" ht="26.4" x14ac:dyDescent="0.25">
      <c r="A152" s="37" t="s">
        <v>488</v>
      </c>
      <c r="B152" s="1"/>
      <c r="C152" s="16" t="s">
        <v>3</v>
      </c>
      <c r="D152" s="14" t="s">
        <v>158</v>
      </c>
      <c r="E152" s="19">
        <f t="shared" si="4"/>
        <v>253.7</v>
      </c>
      <c r="F152" s="19">
        <f>244.2+2.8+6.7</f>
        <v>253.7</v>
      </c>
      <c r="G152" s="19">
        <f>60.3+6.7</f>
        <v>67</v>
      </c>
      <c r="H152" s="19"/>
      <c r="I152" s="4"/>
      <c r="J152" s="4"/>
      <c r="K152" s="4"/>
      <c r="L152" s="4"/>
      <c r="N152" s="44"/>
      <c r="O152" s="44"/>
      <c r="P152" s="44"/>
      <c r="Q152" s="44"/>
    </row>
    <row r="153" spans="1:17" ht="66" x14ac:dyDescent="0.25">
      <c r="A153" s="37" t="s">
        <v>489</v>
      </c>
      <c r="B153" s="1"/>
      <c r="C153" s="104" t="s">
        <v>260</v>
      </c>
      <c r="D153" s="14" t="s">
        <v>89</v>
      </c>
      <c r="E153" s="19">
        <f t="shared" si="4"/>
        <v>22</v>
      </c>
      <c r="F153" s="19">
        <f>20+2</f>
        <v>22</v>
      </c>
      <c r="G153" s="19"/>
      <c r="H153" s="19"/>
      <c r="I153" s="4"/>
      <c r="J153" s="4"/>
      <c r="K153" s="4"/>
      <c r="L153" s="4"/>
      <c r="N153" s="44"/>
      <c r="O153" s="44"/>
      <c r="P153" s="44"/>
      <c r="Q153" s="44"/>
    </row>
    <row r="154" spans="1:17" x14ac:dyDescent="0.25">
      <c r="A154" s="37" t="s">
        <v>490</v>
      </c>
      <c r="B154" s="1"/>
      <c r="C154" s="104" t="s">
        <v>171</v>
      </c>
      <c r="D154" s="14" t="s">
        <v>89</v>
      </c>
      <c r="E154" s="19">
        <f t="shared" si="4"/>
        <v>10</v>
      </c>
      <c r="F154" s="19">
        <v>10</v>
      </c>
      <c r="G154" s="19"/>
      <c r="H154" s="19"/>
      <c r="I154" s="4"/>
      <c r="J154" s="4"/>
      <c r="K154" s="4"/>
      <c r="L154" s="4"/>
      <c r="N154" s="44"/>
      <c r="O154" s="44"/>
      <c r="P154" s="44"/>
      <c r="Q154" s="44"/>
    </row>
    <row r="155" spans="1:17" ht="39" customHeight="1" x14ac:dyDescent="0.25">
      <c r="A155" s="37" t="s">
        <v>491</v>
      </c>
      <c r="B155" s="1"/>
      <c r="C155" s="102" t="s">
        <v>392</v>
      </c>
      <c r="D155" s="9"/>
      <c r="E155" s="108">
        <f>+F155+H155</f>
        <v>493.69999999999993</v>
      </c>
      <c r="F155" s="108">
        <f>+F156+F157+F158+F159+F160+F161</f>
        <v>91.899999999999991</v>
      </c>
      <c r="G155" s="108">
        <f>+G156+G157+G158+G159+G160+G161</f>
        <v>0</v>
      </c>
      <c r="H155" s="108">
        <f>+H156+H157+H158+H159+H160+H161</f>
        <v>401.79999999999995</v>
      </c>
      <c r="I155" s="4"/>
      <c r="J155" s="4"/>
      <c r="K155" s="4"/>
      <c r="L155" s="4"/>
      <c r="N155" s="44"/>
      <c r="O155" s="44"/>
      <c r="P155" s="44"/>
      <c r="Q155" s="44"/>
    </row>
    <row r="156" spans="1:17" ht="39.6" x14ac:dyDescent="0.25">
      <c r="A156" s="37" t="s">
        <v>492</v>
      </c>
      <c r="B156" s="1"/>
      <c r="C156" s="32" t="s">
        <v>416</v>
      </c>
      <c r="D156" s="14" t="s">
        <v>190</v>
      </c>
      <c r="E156" s="19">
        <f t="shared" si="4"/>
        <v>57.499999999999993</v>
      </c>
      <c r="F156" s="19">
        <f>72.1-12.6-2</f>
        <v>57.499999999999993</v>
      </c>
      <c r="G156" s="19"/>
      <c r="H156" s="19"/>
      <c r="I156" s="4"/>
      <c r="J156" s="4"/>
      <c r="K156" s="4"/>
      <c r="L156" s="4"/>
      <c r="N156" s="44"/>
      <c r="O156" s="44"/>
      <c r="P156" s="44"/>
      <c r="Q156" s="44"/>
    </row>
    <row r="157" spans="1:17" ht="26.4" x14ac:dyDescent="0.25">
      <c r="A157" s="37" t="s">
        <v>500</v>
      </c>
      <c r="B157" s="1"/>
      <c r="C157" s="32" t="s">
        <v>246</v>
      </c>
      <c r="D157" s="14" t="s">
        <v>190</v>
      </c>
      <c r="E157" s="19">
        <f t="shared" si="4"/>
        <v>29.3</v>
      </c>
      <c r="F157" s="19">
        <v>29.3</v>
      </c>
      <c r="G157" s="19"/>
      <c r="H157" s="19"/>
      <c r="I157" s="4"/>
      <c r="J157" s="4"/>
      <c r="K157" s="4"/>
      <c r="L157" s="4"/>
      <c r="N157" s="44"/>
      <c r="O157" s="44"/>
      <c r="P157" s="44"/>
      <c r="Q157" s="44"/>
    </row>
    <row r="158" spans="1:17" ht="39.6" x14ac:dyDescent="0.25">
      <c r="A158" s="37" t="s">
        <v>501</v>
      </c>
      <c r="B158" s="1"/>
      <c r="C158" s="32" t="s">
        <v>218</v>
      </c>
      <c r="D158" s="1" t="s">
        <v>88</v>
      </c>
      <c r="E158" s="19">
        <f t="shared" si="4"/>
        <v>52</v>
      </c>
      <c r="F158" s="19">
        <v>0.1</v>
      </c>
      <c r="G158" s="19"/>
      <c r="H158" s="19">
        <v>51.9</v>
      </c>
      <c r="I158" s="4"/>
      <c r="J158" s="4"/>
      <c r="K158" s="4"/>
      <c r="L158" s="4"/>
      <c r="N158" s="44"/>
      <c r="O158" s="44"/>
      <c r="P158" s="44"/>
      <c r="Q158" s="44"/>
    </row>
    <row r="159" spans="1:17" ht="26.4" x14ac:dyDescent="0.25">
      <c r="A159" s="37" t="s">
        <v>502</v>
      </c>
      <c r="B159" s="1"/>
      <c r="C159" s="32" t="s">
        <v>261</v>
      </c>
      <c r="D159" s="1" t="s">
        <v>86</v>
      </c>
      <c r="E159" s="19">
        <f t="shared" si="4"/>
        <v>314.89999999999998</v>
      </c>
      <c r="F159" s="19"/>
      <c r="G159" s="19"/>
      <c r="H159" s="19">
        <f>32.9+282</f>
        <v>314.89999999999998</v>
      </c>
      <c r="I159" s="4"/>
      <c r="J159" s="4"/>
      <c r="K159" s="4"/>
      <c r="L159" s="4"/>
      <c r="N159" s="44"/>
      <c r="O159" s="44"/>
      <c r="P159" s="44"/>
      <c r="Q159" s="44"/>
    </row>
    <row r="160" spans="1:17" x14ac:dyDescent="0.25">
      <c r="A160" s="37" t="s">
        <v>503</v>
      </c>
      <c r="B160" s="1"/>
      <c r="C160" s="38" t="s">
        <v>417</v>
      </c>
      <c r="D160" s="14" t="s">
        <v>86</v>
      </c>
      <c r="E160" s="19">
        <f t="shared" si="4"/>
        <v>5</v>
      </c>
      <c r="F160" s="19">
        <v>5</v>
      </c>
      <c r="G160" s="19"/>
      <c r="H160" s="19"/>
      <c r="I160" s="4"/>
      <c r="J160" s="4"/>
      <c r="K160" s="4"/>
      <c r="L160" s="4"/>
      <c r="N160" s="44"/>
      <c r="O160" s="44"/>
      <c r="P160" s="44"/>
      <c r="Q160" s="44"/>
    </row>
    <row r="161" spans="1:17" ht="26.4" x14ac:dyDescent="0.25">
      <c r="A161" s="37" t="s">
        <v>504</v>
      </c>
      <c r="B161" s="1"/>
      <c r="C161" s="104" t="s">
        <v>262</v>
      </c>
      <c r="D161" s="14" t="s">
        <v>86</v>
      </c>
      <c r="E161" s="19">
        <f t="shared" si="4"/>
        <v>35</v>
      </c>
      <c r="F161" s="19"/>
      <c r="G161" s="19"/>
      <c r="H161" s="19">
        <v>35</v>
      </c>
      <c r="I161" s="4"/>
      <c r="J161" s="4"/>
      <c r="K161" s="4"/>
      <c r="L161" s="4"/>
      <c r="N161" s="44"/>
      <c r="O161" s="44"/>
      <c r="P161" s="44"/>
      <c r="Q161" s="44"/>
    </row>
    <row r="162" spans="1:17" ht="31.5" customHeight="1" x14ac:dyDescent="0.25">
      <c r="A162" s="12">
        <v>77</v>
      </c>
      <c r="B162" s="1"/>
      <c r="C162" s="15" t="s">
        <v>6</v>
      </c>
      <c r="D162" s="1" t="s">
        <v>88</v>
      </c>
      <c r="E162" s="19">
        <f t="shared" si="4"/>
        <v>6.2</v>
      </c>
      <c r="F162" s="19">
        <f>5.8+0.5-0.1</f>
        <v>6.2</v>
      </c>
      <c r="G162" s="19">
        <f>5.6+0.5</f>
        <v>6.1</v>
      </c>
      <c r="H162" s="19"/>
      <c r="I162" s="4"/>
      <c r="J162" s="4"/>
      <c r="K162" s="4"/>
      <c r="L162" s="4"/>
      <c r="N162" s="44"/>
      <c r="O162" s="44"/>
      <c r="P162" s="44"/>
      <c r="Q162" s="44"/>
    </row>
    <row r="163" spans="1:17" ht="30" customHeight="1" x14ac:dyDescent="0.25">
      <c r="A163" s="12">
        <v>78</v>
      </c>
      <c r="B163" s="11" t="s">
        <v>111</v>
      </c>
      <c r="C163" s="114" t="s">
        <v>112</v>
      </c>
      <c r="D163" s="1"/>
      <c r="E163" s="93">
        <f t="shared" si="4"/>
        <v>592.1</v>
      </c>
      <c r="F163" s="93">
        <f>+F166+F164</f>
        <v>254.1</v>
      </c>
      <c r="G163" s="93">
        <f>+G166</f>
        <v>0</v>
      </c>
      <c r="H163" s="93">
        <f>+H166</f>
        <v>338</v>
      </c>
      <c r="I163" s="4"/>
      <c r="J163" s="4"/>
      <c r="K163" s="4"/>
      <c r="L163" s="4"/>
      <c r="N163" s="44"/>
      <c r="O163" s="44"/>
      <c r="P163" s="44"/>
      <c r="Q163" s="44"/>
    </row>
    <row r="164" spans="1:17" x14ac:dyDescent="0.25">
      <c r="A164" s="191">
        <v>79</v>
      </c>
      <c r="B164" s="198"/>
      <c r="C164" s="110" t="s">
        <v>499</v>
      </c>
      <c r="D164" s="193" t="s">
        <v>113</v>
      </c>
      <c r="E164" s="19">
        <f t="shared" si="4"/>
        <v>86</v>
      </c>
      <c r="F164" s="19">
        <f>+F165</f>
        <v>86</v>
      </c>
      <c r="G164" s="93"/>
      <c r="H164" s="93"/>
      <c r="I164" s="4"/>
      <c r="J164" s="4"/>
      <c r="K164" s="4"/>
      <c r="L164" s="4"/>
      <c r="N164" s="44"/>
      <c r="O164" s="44"/>
      <c r="P164" s="44"/>
      <c r="Q164" s="44"/>
    </row>
    <row r="165" spans="1:17" ht="26.4" x14ac:dyDescent="0.25">
      <c r="A165" s="192"/>
      <c r="B165" s="199"/>
      <c r="C165" s="109" t="s">
        <v>592</v>
      </c>
      <c r="D165" s="194"/>
      <c r="E165" s="19">
        <f t="shared" si="4"/>
        <v>86</v>
      </c>
      <c r="F165" s="19">
        <v>86</v>
      </c>
      <c r="G165" s="19"/>
      <c r="H165" s="19"/>
      <c r="I165" s="4"/>
      <c r="J165" s="4"/>
      <c r="K165" s="4"/>
      <c r="L165" s="4"/>
      <c r="N165" s="44"/>
      <c r="O165" s="44"/>
      <c r="P165" s="44"/>
      <c r="Q165" s="44"/>
    </row>
    <row r="166" spans="1:17" ht="21" customHeight="1" x14ac:dyDescent="0.25">
      <c r="A166" s="12">
        <v>80</v>
      </c>
      <c r="B166" s="1"/>
      <c r="C166" s="16" t="s">
        <v>211</v>
      </c>
      <c r="D166" s="1"/>
      <c r="E166" s="19">
        <f t="shared" si="4"/>
        <v>506.1</v>
      </c>
      <c r="F166" s="19">
        <f>+F167+F168+F170+F169</f>
        <v>168.1</v>
      </c>
      <c r="G166" s="19">
        <f>+G167+G168+G170+G169</f>
        <v>0</v>
      </c>
      <c r="H166" s="19">
        <f>+H167+H168+H170+H169</f>
        <v>338</v>
      </c>
      <c r="I166" s="4"/>
      <c r="J166" s="4"/>
      <c r="K166" s="4"/>
      <c r="L166" s="4"/>
      <c r="N166" s="44"/>
      <c r="O166" s="44"/>
      <c r="P166" s="44"/>
      <c r="Q166" s="44"/>
    </row>
    <row r="167" spans="1:17" ht="27.6" customHeight="1" x14ac:dyDescent="0.25">
      <c r="A167" s="116" t="s">
        <v>505</v>
      </c>
      <c r="B167" s="1"/>
      <c r="C167" s="104" t="s">
        <v>241</v>
      </c>
      <c r="D167" s="1" t="s">
        <v>113</v>
      </c>
      <c r="E167" s="19">
        <f t="shared" si="4"/>
        <v>46</v>
      </c>
      <c r="F167" s="19">
        <v>46</v>
      </c>
      <c r="G167" s="19"/>
      <c r="H167" s="19"/>
      <c r="I167" s="4"/>
      <c r="J167" s="4"/>
      <c r="K167" s="4"/>
      <c r="L167" s="4"/>
      <c r="N167" s="44"/>
      <c r="O167" s="44"/>
      <c r="P167" s="44"/>
      <c r="Q167" s="44"/>
    </row>
    <row r="168" spans="1:17" ht="27.6" customHeight="1" x14ac:dyDescent="0.25">
      <c r="A168" s="116" t="s">
        <v>506</v>
      </c>
      <c r="B168" s="1"/>
      <c r="C168" s="104" t="s">
        <v>156</v>
      </c>
      <c r="D168" s="1" t="s">
        <v>159</v>
      </c>
      <c r="E168" s="19">
        <f t="shared" si="4"/>
        <v>20</v>
      </c>
      <c r="F168" s="19">
        <f>20</f>
        <v>20</v>
      </c>
      <c r="G168" s="19"/>
      <c r="H168" s="19"/>
      <c r="I168" s="4"/>
      <c r="J168" s="97"/>
      <c r="K168" s="4"/>
      <c r="L168" s="4"/>
      <c r="M168" s="46"/>
      <c r="N168" s="44"/>
      <c r="O168" s="44"/>
      <c r="P168" s="44"/>
      <c r="Q168" s="44"/>
    </row>
    <row r="169" spans="1:17" x14ac:dyDescent="0.25">
      <c r="A169" s="116" t="s">
        <v>507</v>
      </c>
      <c r="B169" s="1"/>
      <c r="C169" s="38" t="s">
        <v>410</v>
      </c>
      <c r="D169" s="1" t="s">
        <v>113</v>
      </c>
      <c r="E169" s="19">
        <f t="shared" si="4"/>
        <v>10</v>
      </c>
      <c r="F169" s="19">
        <f>10-10</f>
        <v>0</v>
      </c>
      <c r="G169" s="19"/>
      <c r="H169" s="19">
        <v>10</v>
      </c>
      <c r="I169" s="4"/>
      <c r="J169" s="4"/>
      <c r="K169" s="4"/>
      <c r="L169" s="4"/>
      <c r="N169" s="44"/>
      <c r="O169" s="44"/>
      <c r="P169" s="44"/>
      <c r="Q169" s="44"/>
    </row>
    <row r="170" spans="1:17" ht="41.4" customHeight="1" x14ac:dyDescent="0.25">
      <c r="A170" s="116" t="s">
        <v>508</v>
      </c>
      <c r="B170" s="1"/>
      <c r="C170" s="102" t="s">
        <v>392</v>
      </c>
      <c r="D170" s="11"/>
      <c r="E170" s="108">
        <f>+F170+H170</f>
        <v>430.1</v>
      </c>
      <c r="F170" s="108">
        <f>+F171+F172+F173+F174+F175+F176+F177+F178+F179+F180+F181+F182+F183+F184+F185+F186+F187+F188</f>
        <v>102.1</v>
      </c>
      <c r="G170" s="108">
        <f>+G171+G172+G173+G174+G175+G176+G177+G178+G179+G180+G181+G182+G183+G184+G185+G186+G187+G188</f>
        <v>0</v>
      </c>
      <c r="H170" s="108">
        <f>+H171+H172+H173+H174+H175+H176+H177+H178+H179+H180+H181+H182+H183+H184+H185+H186+H187+H188</f>
        <v>328</v>
      </c>
      <c r="I170" s="4"/>
      <c r="J170" s="4"/>
      <c r="K170" s="4"/>
      <c r="L170" s="4"/>
      <c r="N170" s="44"/>
      <c r="O170" s="44"/>
      <c r="P170" s="44"/>
      <c r="Q170" s="44"/>
    </row>
    <row r="171" spans="1:17" ht="26.4" x14ac:dyDescent="0.25">
      <c r="A171" s="37" t="s">
        <v>509</v>
      </c>
      <c r="B171" s="1"/>
      <c r="C171" s="38" t="s">
        <v>242</v>
      </c>
      <c r="D171" s="14" t="s">
        <v>185</v>
      </c>
      <c r="E171" s="19">
        <f t="shared" ref="E171:E236" si="5">+F171+H171</f>
        <v>20</v>
      </c>
      <c r="F171" s="19">
        <v>20</v>
      </c>
      <c r="G171" s="19"/>
      <c r="H171" s="19"/>
      <c r="I171" s="4"/>
      <c r="J171" s="4"/>
      <c r="K171" s="4"/>
      <c r="L171" s="4"/>
      <c r="N171" s="44"/>
      <c r="O171" s="44"/>
      <c r="P171" s="44"/>
      <c r="Q171" s="44"/>
    </row>
    <row r="172" spans="1:17" ht="39.6" x14ac:dyDescent="0.25">
      <c r="A172" s="37" t="s">
        <v>510</v>
      </c>
      <c r="B172" s="1"/>
      <c r="C172" s="38" t="s">
        <v>243</v>
      </c>
      <c r="D172" s="1" t="s">
        <v>136</v>
      </c>
      <c r="E172" s="19">
        <f t="shared" si="5"/>
        <v>76.700000000000017</v>
      </c>
      <c r="F172" s="19">
        <f>0.1+1.7+0.6</f>
        <v>2.4</v>
      </c>
      <c r="G172" s="19"/>
      <c r="H172" s="19">
        <f>74.9-0.6</f>
        <v>74.300000000000011</v>
      </c>
      <c r="I172" s="4"/>
      <c r="J172" s="4"/>
      <c r="K172" s="4"/>
      <c r="L172" s="4"/>
      <c r="M172" s="46"/>
      <c r="N172" s="44"/>
      <c r="O172" s="44"/>
      <c r="P172" s="44"/>
      <c r="Q172" s="44"/>
    </row>
    <row r="173" spans="1:17" ht="26.4" x14ac:dyDescent="0.25">
      <c r="A173" s="37" t="s">
        <v>511</v>
      </c>
      <c r="B173" s="1"/>
      <c r="C173" s="104" t="s">
        <v>418</v>
      </c>
      <c r="D173" s="1" t="s">
        <v>123</v>
      </c>
      <c r="E173" s="19">
        <f t="shared" si="5"/>
        <v>17.2</v>
      </c>
      <c r="F173" s="19">
        <f>10+7.2</f>
        <v>17.2</v>
      </c>
      <c r="G173" s="19"/>
      <c r="H173" s="19"/>
      <c r="I173" s="4"/>
      <c r="J173" s="4"/>
      <c r="K173" s="4"/>
      <c r="L173" s="4"/>
      <c r="N173" s="44"/>
      <c r="O173" s="44"/>
      <c r="P173" s="44"/>
      <c r="Q173" s="44"/>
    </row>
    <row r="174" spans="1:17" ht="26.4" x14ac:dyDescent="0.25">
      <c r="A174" s="37" t="s">
        <v>512</v>
      </c>
      <c r="B174" s="1"/>
      <c r="C174" s="38" t="s">
        <v>419</v>
      </c>
      <c r="D174" s="1" t="s">
        <v>123</v>
      </c>
      <c r="E174" s="19">
        <f t="shared" si="5"/>
        <v>1.3999999999999995</v>
      </c>
      <c r="F174" s="19">
        <f>8.6-7.2</f>
        <v>1.3999999999999995</v>
      </c>
      <c r="G174" s="19"/>
      <c r="H174" s="19"/>
      <c r="I174" s="4"/>
      <c r="J174" s="4"/>
      <c r="K174" s="4"/>
      <c r="L174" s="4"/>
      <c r="N174" s="44"/>
      <c r="O174" s="44"/>
      <c r="P174" s="44"/>
      <c r="Q174" s="44"/>
    </row>
    <row r="175" spans="1:17" ht="26.4" x14ac:dyDescent="0.25">
      <c r="A175" s="37" t="s">
        <v>513</v>
      </c>
      <c r="B175" s="1"/>
      <c r="C175" s="38" t="s">
        <v>420</v>
      </c>
      <c r="D175" s="14" t="s">
        <v>136</v>
      </c>
      <c r="E175" s="19">
        <f t="shared" si="5"/>
        <v>3</v>
      </c>
      <c r="F175" s="19">
        <v>3</v>
      </c>
      <c r="G175" s="19"/>
      <c r="H175" s="19"/>
      <c r="I175" s="4"/>
      <c r="J175" s="4"/>
      <c r="K175" s="4"/>
      <c r="L175" s="4"/>
      <c r="N175" s="44"/>
      <c r="O175" s="44"/>
      <c r="P175" s="44"/>
      <c r="Q175" s="44"/>
    </row>
    <row r="176" spans="1:17" ht="26.4" x14ac:dyDescent="0.25">
      <c r="A176" s="37" t="s">
        <v>514</v>
      </c>
      <c r="B176" s="1"/>
      <c r="C176" s="38" t="s">
        <v>421</v>
      </c>
      <c r="D176" s="36" t="s">
        <v>123</v>
      </c>
      <c r="E176" s="19">
        <f t="shared" si="5"/>
        <v>5</v>
      </c>
      <c r="F176" s="19">
        <v>5</v>
      </c>
      <c r="G176" s="19"/>
      <c r="H176" s="19"/>
      <c r="I176" s="4"/>
      <c r="J176" s="4"/>
      <c r="K176" s="4"/>
      <c r="L176" s="4"/>
      <c r="N176" s="44"/>
      <c r="O176" s="44"/>
      <c r="P176" s="44"/>
      <c r="Q176" s="44"/>
    </row>
    <row r="177" spans="1:17" ht="26.4" x14ac:dyDescent="0.25">
      <c r="A177" s="37" t="s">
        <v>515</v>
      </c>
      <c r="B177" s="1"/>
      <c r="C177" s="38" t="s">
        <v>244</v>
      </c>
      <c r="D177" s="36" t="s">
        <v>123</v>
      </c>
      <c r="E177" s="19">
        <f t="shared" si="5"/>
        <v>1.5</v>
      </c>
      <c r="F177" s="19">
        <v>1.5</v>
      </c>
      <c r="G177" s="19"/>
      <c r="H177" s="19"/>
      <c r="I177" s="4"/>
      <c r="J177" s="4"/>
      <c r="K177" s="4"/>
      <c r="L177" s="4"/>
      <c r="N177" s="44"/>
      <c r="O177" s="44"/>
      <c r="P177" s="44"/>
      <c r="Q177" s="44"/>
    </row>
    <row r="178" spans="1:17" ht="39.6" x14ac:dyDescent="0.25">
      <c r="A178" s="37" t="s">
        <v>516</v>
      </c>
      <c r="B178" s="1"/>
      <c r="C178" s="38" t="s">
        <v>422</v>
      </c>
      <c r="D178" s="36" t="s">
        <v>123</v>
      </c>
      <c r="E178" s="19">
        <f t="shared" si="5"/>
        <v>10</v>
      </c>
      <c r="F178" s="19">
        <v>10</v>
      </c>
      <c r="G178" s="19"/>
      <c r="H178" s="19"/>
      <c r="I178" s="4"/>
      <c r="J178" s="4"/>
      <c r="K178" s="4"/>
      <c r="L178" s="4"/>
      <c r="N178" s="44"/>
      <c r="O178" s="44"/>
      <c r="P178" s="44"/>
      <c r="Q178" s="44"/>
    </row>
    <row r="179" spans="1:17" ht="39.6" x14ac:dyDescent="0.25">
      <c r="A179" s="37" t="s">
        <v>517</v>
      </c>
      <c r="B179" s="1"/>
      <c r="C179" s="38" t="s">
        <v>593</v>
      </c>
      <c r="D179" s="36" t="s">
        <v>136</v>
      </c>
      <c r="E179" s="19">
        <f t="shared" si="5"/>
        <v>5</v>
      </c>
      <c r="F179" s="19">
        <v>5</v>
      </c>
      <c r="G179" s="19"/>
      <c r="H179" s="19"/>
      <c r="I179" s="4"/>
      <c r="J179" s="4"/>
      <c r="K179" s="4"/>
      <c r="L179" s="4"/>
      <c r="N179" s="44"/>
      <c r="O179" s="44"/>
      <c r="P179" s="44"/>
      <c r="Q179" s="44"/>
    </row>
    <row r="180" spans="1:17" ht="52.8" x14ac:dyDescent="0.25">
      <c r="A180" s="37" t="s">
        <v>518</v>
      </c>
      <c r="B180" s="1"/>
      <c r="C180" s="38" t="s">
        <v>191</v>
      </c>
      <c r="D180" s="36" t="s">
        <v>160</v>
      </c>
      <c r="E180" s="19">
        <f t="shared" si="5"/>
        <v>31.400000000000013</v>
      </c>
      <c r="F180" s="19">
        <v>0.1</v>
      </c>
      <c r="G180" s="19"/>
      <c r="H180" s="19">
        <f>314.7-58.4-35-190</f>
        <v>31.300000000000011</v>
      </c>
      <c r="I180" s="4"/>
      <c r="J180" s="4"/>
      <c r="K180" s="4"/>
      <c r="L180" s="4"/>
      <c r="N180" s="44"/>
      <c r="O180" s="44"/>
      <c r="P180" s="44"/>
      <c r="Q180" s="44"/>
    </row>
    <row r="181" spans="1:17" ht="26.4" x14ac:dyDescent="0.25">
      <c r="A181" s="37" t="s">
        <v>519</v>
      </c>
      <c r="B181" s="1"/>
      <c r="C181" s="38" t="s">
        <v>179</v>
      </c>
      <c r="D181" s="36" t="s">
        <v>124</v>
      </c>
      <c r="E181" s="19">
        <f t="shared" si="5"/>
        <v>18.600000000000001</v>
      </c>
      <c r="F181" s="19"/>
      <c r="G181" s="19"/>
      <c r="H181" s="19">
        <f>8.6+10</f>
        <v>18.600000000000001</v>
      </c>
      <c r="I181" s="4"/>
      <c r="J181" s="4"/>
      <c r="K181" s="4"/>
      <c r="L181" s="4"/>
      <c r="N181" s="44"/>
      <c r="O181" s="44"/>
      <c r="P181" s="44"/>
      <c r="Q181" s="44"/>
    </row>
    <row r="182" spans="1:17" ht="39.6" x14ac:dyDescent="0.25">
      <c r="A182" s="37" t="s">
        <v>520</v>
      </c>
      <c r="B182" s="1"/>
      <c r="C182" s="38" t="s">
        <v>202</v>
      </c>
      <c r="D182" s="1" t="s">
        <v>160</v>
      </c>
      <c r="E182" s="19">
        <f t="shared" si="5"/>
        <v>8.3000000000000007</v>
      </c>
      <c r="F182" s="19">
        <v>0.5</v>
      </c>
      <c r="G182" s="19"/>
      <c r="H182" s="19">
        <v>7.8</v>
      </c>
      <c r="I182" s="4"/>
      <c r="J182" s="4"/>
      <c r="K182" s="4"/>
      <c r="L182" s="4"/>
      <c r="N182" s="44"/>
      <c r="O182" s="44"/>
      <c r="P182" s="44"/>
      <c r="Q182" s="44"/>
    </row>
    <row r="183" spans="1:17" ht="26.4" x14ac:dyDescent="0.25">
      <c r="A183" s="37" t="s">
        <v>521</v>
      </c>
      <c r="B183" s="1"/>
      <c r="C183" s="38" t="s">
        <v>423</v>
      </c>
      <c r="D183" s="117" t="s">
        <v>235</v>
      </c>
      <c r="E183" s="19">
        <f t="shared" si="5"/>
        <v>10</v>
      </c>
      <c r="F183" s="19">
        <v>10</v>
      </c>
      <c r="G183" s="19"/>
      <c r="H183" s="19"/>
      <c r="I183" s="4"/>
      <c r="J183" s="4"/>
      <c r="K183" s="4"/>
      <c r="L183" s="4"/>
      <c r="N183" s="44"/>
      <c r="O183" s="44"/>
      <c r="P183" s="44"/>
      <c r="Q183" s="44"/>
    </row>
    <row r="184" spans="1:17" ht="26.4" x14ac:dyDescent="0.25">
      <c r="A184" s="37" t="s">
        <v>522</v>
      </c>
      <c r="B184" s="1"/>
      <c r="C184" s="38" t="s">
        <v>424</v>
      </c>
      <c r="D184" s="36" t="s">
        <v>123</v>
      </c>
      <c r="E184" s="19">
        <f t="shared" si="5"/>
        <v>3</v>
      </c>
      <c r="F184" s="19">
        <f>3</f>
        <v>3</v>
      </c>
      <c r="G184" s="19"/>
      <c r="H184" s="19"/>
      <c r="I184" s="4"/>
      <c r="J184" s="4"/>
      <c r="K184" s="4"/>
      <c r="L184" s="4"/>
      <c r="N184" s="44"/>
      <c r="O184" s="44"/>
      <c r="P184" s="44"/>
      <c r="Q184" s="44"/>
    </row>
    <row r="185" spans="1:17" ht="39.6" x14ac:dyDescent="0.25">
      <c r="A185" s="37" t="s">
        <v>523</v>
      </c>
      <c r="B185" s="1"/>
      <c r="C185" s="38" t="s">
        <v>425</v>
      </c>
      <c r="D185" s="36" t="s">
        <v>123</v>
      </c>
      <c r="E185" s="19">
        <f t="shared" si="5"/>
        <v>3</v>
      </c>
      <c r="F185" s="19">
        <f>3</f>
        <v>3</v>
      </c>
      <c r="G185" s="19"/>
      <c r="H185" s="19"/>
      <c r="I185" s="4"/>
      <c r="J185" s="4"/>
      <c r="K185" s="4"/>
      <c r="L185" s="4"/>
      <c r="N185" s="44"/>
      <c r="O185" s="44"/>
      <c r="P185" s="44"/>
      <c r="Q185" s="44"/>
    </row>
    <row r="186" spans="1:17" ht="26.4" x14ac:dyDescent="0.25">
      <c r="A186" s="37" t="s">
        <v>524</v>
      </c>
      <c r="B186" s="1"/>
      <c r="C186" s="38" t="s">
        <v>426</v>
      </c>
      <c r="D186" s="1" t="s">
        <v>136</v>
      </c>
      <c r="E186" s="19">
        <f t="shared" si="5"/>
        <v>5</v>
      </c>
      <c r="F186" s="19"/>
      <c r="G186" s="19"/>
      <c r="H186" s="19">
        <f>5</f>
        <v>5</v>
      </c>
      <c r="I186" s="4"/>
      <c r="J186" s="4"/>
      <c r="K186" s="4"/>
      <c r="L186" s="4"/>
      <c r="N186" s="44"/>
      <c r="O186" s="44"/>
      <c r="P186" s="44"/>
      <c r="Q186" s="44"/>
    </row>
    <row r="187" spans="1:17" ht="20.399999999999999" customHeight="1" x14ac:dyDescent="0.25">
      <c r="A187" s="37" t="s">
        <v>525</v>
      </c>
      <c r="B187" s="1"/>
      <c r="C187" s="38" t="s">
        <v>427</v>
      </c>
      <c r="D187" s="36" t="s">
        <v>578</v>
      </c>
      <c r="E187" s="19">
        <f t="shared" si="5"/>
        <v>45</v>
      </c>
      <c r="F187" s="19"/>
      <c r="G187" s="19"/>
      <c r="H187" s="19">
        <f>30+15</f>
        <v>45</v>
      </c>
      <c r="I187" s="4"/>
      <c r="J187" s="4"/>
      <c r="K187" s="4"/>
      <c r="L187" s="4"/>
      <c r="N187" s="44"/>
      <c r="O187" s="44"/>
      <c r="P187" s="44"/>
      <c r="Q187" s="44"/>
    </row>
    <row r="188" spans="1:17" ht="15.6" customHeight="1" x14ac:dyDescent="0.25">
      <c r="A188" s="37" t="s">
        <v>594</v>
      </c>
      <c r="B188" s="1"/>
      <c r="C188" s="38" t="s">
        <v>595</v>
      </c>
      <c r="D188" s="36" t="s">
        <v>124</v>
      </c>
      <c r="E188" s="19">
        <f t="shared" si="5"/>
        <v>166</v>
      </c>
      <c r="F188" s="19">
        <v>20</v>
      </c>
      <c r="G188" s="19"/>
      <c r="H188" s="19">
        <f>90+76-20</f>
        <v>146</v>
      </c>
      <c r="I188" s="4"/>
      <c r="J188" s="4"/>
      <c r="K188" s="4"/>
      <c r="L188" s="4"/>
      <c r="N188" s="44"/>
      <c r="O188" s="44"/>
      <c r="P188" s="44"/>
      <c r="Q188" s="44"/>
    </row>
    <row r="189" spans="1:17" ht="27" customHeight="1" x14ac:dyDescent="0.25">
      <c r="A189" s="12">
        <v>81</v>
      </c>
      <c r="B189" s="11" t="s">
        <v>90</v>
      </c>
      <c r="C189" s="118" t="s">
        <v>91</v>
      </c>
      <c r="D189" s="9"/>
      <c r="E189" s="96">
        <f t="shared" si="5"/>
        <v>2370</v>
      </c>
      <c r="F189" s="96">
        <f>+F190+F225+F226+F227+F228+F229+F230+F231+F232+F233+F234+F235</f>
        <v>626.19999999999993</v>
      </c>
      <c r="G189" s="96">
        <f>+G226+G227+G229+G228+G225+G230+G231+G233+G232+G234+G235+G190</f>
        <v>0</v>
      </c>
      <c r="H189" s="96">
        <f>+H226+H227+H229+H228+H225+H230+H231+H233+H232+H234+H235+H190</f>
        <v>1743.8000000000002</v>
      </c>
      <c r="I189" s="4"/>
      <c r="J189" s="4"/>
      <c r="K189" s="4"/>
      <c r="L189" s="4"/>
      <c r="N189" s="44"/>
      <c r="O189" s="44"/>
      <c r="P189" s="44"/>
      <c r="Q189" s="44"/>
    </row>
    <row r="190" spans="1:17" ht="12.6" customHeight="1" x14ac:dyDescent="0.25">
      <c r="A190" s="12">
        <v>82</v>
      </c>
      <c r="B190" s="1"/>
      <c r="C190" s="16" t="s">
        <v>219</v>
      </c>
      <c r="D190" s="14"/>
      <c r="E190" s="19">
        <f t="shared" si="5"/>
        <v>2021.0000000000002</v>
      </c>
      <c r="F190" s="19">
        <f>F191</f>
        <v>277.2</v>
      </c>
      <c r="G190" s="19">
        <f>G191</f>
        <v>0</v>
      </c>
      <c r="H190" s="19">
        <f>H191</f>
        <v>1743.8000000000002</v>
      </c>
      <c r="I190" s="4"/>
      <c r="J190" s="4"/>
      <c r="K190" s="4"/>
      <c r="L190" s="4"/>
      <c r="N190" s="44"/>
      <c r="O190" s="44"/>
      <c r="P190" s="44"/>
      <c r="Q190" s="44"/>
    </row>
    <row r="191" spans="1:17" ht="39" customHeight="1" x14ac:dyDescent="0.25">
      <c r="A191" s="37" t="s">
        <v>526</v>
      </c>
      <c r="B191" s="1"/>
      <c r="C191" s="102" t="s">
        <v>392</v>
      </c>
      <c r="D191" s="14"/>
      <c r="E191" s="108">
        <f t="shared" si="5"/>
        <v>2021.0000000000002</v>
      </c>
      <c r="F191" s="108">
        <f>SUM(F192:F224)</f>
        <v>277.2</v>
      </c>
      <c r="G191" s="108">
        <f>SUM(G192:G224)</f>
        <v>0</v>
      </c>
      <c r="H191" s="108">
        <f>SUM(H192:H224)</f>
        <v>1743.8000000000002</v>
      </c>
      <c r="I191" s="4"/>
      <c r="J191" s="4"/>
      <c r="K191" s="4"/>
      <c r="L191" s="4"/>
      <c r="N191" s="44"/>
      <c r="O191" s="44"/>
      <c r="P191" s="44"/>
      <c r="Q191" s="44"/>
    </row>
    <row r="192" spans="1:17" ht="27.6" customHeight="1" x14ac:dyDescent="0.25">
      <c r="A192" s="37" t="s">
        <v>527</v>
      </c>
      <c r="B192" s="1"/>
      <c r="C192" s="32" t="s">
        <v>137</v>
      </c>
      <c r="D192" s="14" t="s">
        <v>139</v>
      </c>
      <c r="E192" s="19">
        <f t="shared" si="5"/>
        <v>85</v>
      </c>
      <c r="F192" s="19">
        <v>30</v>
      </c>
      <c r="G192" s="19"/>
      <c r="H192" s="19">
        <v>55</v>
      </c>
      <c r="I192" s="4"/>
      <c r="J192" s="4"/>
      <c r="K192" s="4"/>
      <c r="L192" s="4"/>
      <c r="N192" s="44"/>
      <c r="O192" s="44"/>
      <c r="P192" s="44"/>
      <c r="Q192" s="44"/>
    </row>
    <row r="193" spans="1:17" x14ac:dyDescent="0.25">
      <c r="A193" s="37" t="s">
        <v>528</v>
      </c>
      <c r="B193" s="1"/>
      <c r="C193" s="107" t="s">
        <v>220</v>
      </c>
      <c r="D193" s="14" t="s">
        <v>139</v>
      </c>
      <c r="E193" s="19">
        <f t="shared" si="5"/>
        <v>5</v>
      </c>
      <c r="F193" s="19"/>
      <c r="G193" s="19"/>
      <c r="H193" s="19">
        <v>5</v>
      </c>
      <c r="I193" s="4"/>
      <c r="J193" s="4"/>
      <c r="K193" s="4"/>
      <c r="L193" s="4"/>
      <c r="N193" s="44"/>
      <c r="O193" s="44"/>
      <c r="P193" s="44"/>
      <c r="Q193" s="44"/>
    </row>
    <row r="194" spans="1:17" x14ac:dyDescent="0.25">
      <c r="A194" s="37" t="s">
        <v>529</v>
      </c>
      <c r="B194" s="1"/>
      <c r="C194" s="107" t="s">
        <v>221</v>
      </c>
      <c r="D194" s="14" t="s">
        <v>139</v>
      </c>
      <c r="E194" s="19">
        <f t="shared" si="5"/>
        <v>4.2</v>
      </c>
      <c r="F194" s="19"/>
      <c r="G194" s="19"/>
      <c r="H194" s="19">
        <v>4.2</v>
      </c>
      <c r="I194" s="4"/>
      <c r="J194" s="4"/>
      <c r="K194" s="4"/>
      <c r="L194" s="4"/>
      <c r="N194" s="44"/>
      <c r="O194" s="44"/>
      <c r="P194" s="44"/>
      <c r="Q194" s="44"/>
    </row>
    <row r="195" spans="1:17" ht="27" customHeight="1" x14ac:dyDescent="0.25">
      <c r="A195" s="37" t="s">
        <v>530</v>
      </c>
      <c r="B195" s="1"/>
      <c r="C195" s="38" t="s">
        <v>131</v>
      </c>
      <c r="D195" s="14" t="s">
        <v>42</v>
      </c>
      <c r="E195" s="19">
        <f t="shared" si="5"/>
        <v>26</v>
      </c>
      <c r="F195" s="19">
        <f>15+5+6</f>
        <v>26</v>
      </c>
      <c r="G195" s="19"/>
      <c r="H195" s="19"/>
      <c r="I195" s="4"/>
      <c r="J195" s="4"/>
      <c r="K195" s="4"/>
      <c r="L195" s="4"/>
      <c r="N195" s="44"/>
      <c r="O195" s="44"/>
      <c r="P195" s="44"/>
      <c r="Q195" s="44"/>
    </row>
    <row r="196" spans="1:17" ht="40.200000000000003" customHeight="1" x14ac:dyDescent="0.25">
      <c r="A196" s="37" t="s">
        <v>531</v>
      </c>
      <c r="B196" s="1"/>
      <c r="C196" s="16" t="s">
        <v>153</v>
      </c>
      <c r="D196" s="14" t="s">
        <v>139</v>
      </c>
      <c r="E196" s="19">
        <f t="shared" si="5"/>
        <v>25</v>
      </c>
      <c r="F196" s="19">
        <f>15+10</f>
        <v>25</v>
      </c>
      <c r="G196" s="19"/>
      <c r="H196" s="19"/>
      <c r="I196" s="4"/>
      <c r="J196" s="4"/>
      <c r="K196" s="4"/>
      <c r="L196" s="4"/>
      <c r="N196" s="44"/>
      <c r="O196" s="44"/>
      <c r="P196" s="44"/>
      <c r="Q196" s="44"/>
    </row>
    <row r="197" spans="1:17" ht="26.4" x14ac:dyDescent="0.25">
      <c r="A197" s="37" t="s">
        <v>532</v>
      </c>
      <c r="B197" s="1"/>
      <c r="C197" s="16" t="s">
        <v>428</v>
      </c>
      <c r="D197" s="14" t="s">
        <v>579</v>
      </c>
      <c r="E197" s="19">
        <f t="shared" si="5"/>
        <v>0</v>
      </c>
      <c r="F197" s="19"/>
      <c r="G197" s="19"/>
      <c r="H197" s="19">
        <f>15-3-12</f>
        <v>0</v>
      </c>
      <c r="I197" s="4"/>
      <c r="J197" s="4"/>
      <c r="K197" s="4"/>
      <c r="L197" s="4"/>
      <c r="N197" s="44"/>
      <c r="O197" s="44"/>
      <c r="P197" s="44"/>
      <c r="Q197" s="44"/>
    </row>
    <row r="198" spans="1:17" ht="39.6" x14ac:dyDescent="0.25">
      <c r="A198" s="37" t="s">
        <v>533</v>
      </c>
      <c r="B198" s="1"/>
      <c r="C198" s="16" t="s">
        <v>760</v>
      </c>
      <c r="D198" s="119" t="s">
        <v>271</v>
      </c>
      <c r="E198" s="19">
        <f t="shared" si="5"/>
        <v>132.5</v>
      </c>
      <c r="F198" s="19"/>
      <c r="G198" s="19"/>
      <c r="H198" s="19">
        <f>115.5+17</f>
        <v>132.5</v>
      </c>
      <c r="I198" s="4"/>
      <c r="J198" s="4"/>
      <c r="K198" s="4"/>
      <c r="L198" s="4"/>
      <c r="N198" s="44"/>
      <c r="O198" s="44"/>
      <c r="P198" s="44"/>
      <c r="Q198" s="44"/>
    </row>
    <row r="199" spans="1:17" ht="40.200000000000003" customHeight="1" x14ac:dyDescent="0.25">
      <c r="A199" s="37" t="s">
        <v>534</v>
      </c>
      <c r="B199" s="1"/>
      <c r="C199" s="15" t="s">
        <v>188</v>
      </c>
      <c r="D199" s="14" t="s">
        <v>186</v>
      </c>
      <c r="E199" s="19">
        <f t="shared" si="5"/>
        <v>80</v>
      </c>
      <c r="F199" s="19"/>
      <c r="G199" s="19"/>
      <c r="H199" s="19">
        <v>80</v>
      </c>
      <c r="I199" s="4"/>
      <c r="J199" s="4"/>
      <c r="K199" s="4"/>
      <c r="L199" s="4"/>
      <c r="N199" s="44"/>
      <c r="O199" s="44"/>
      <c r="P199" s="44"/>
      <c r="Q199" s="44"/>
    </row>
    <row r="200" spans="1:17" ht="29.4" customHeight="1" x14ac:dyDescent="0.25">
      <c r="A200" s="37" t="s">
        <v>535</v>
      </c>
      <c r="B200" s="1"/>
      <c r="C200" s="15" t="s">
        <v>154</v>
      </c>
      <c r="D200" s="120" t="s">
        <v>272</v>
      </c>
      <c r="E200" s="19">
        <f t="shared" si="5"/>
        <v>138</v>
      </c>
      <c r="F200" s="19"/>
      <c r="G200" s="19"/>
      <c r="H200" s="19">
        <v>138</v>
      </c>
      <c r="I200" s="4"/>
      <c r="J200" s="4"/>
      <c r="K200" s="4"/>
      <c r="L200" s="4"/>
      <c r="N200" s="44"/>
      <c r="O200" s="44"/>
      <c r="P200" s="44"/>
      <c r="Q200" s="44"/>
    </row>
    <row r="201" spans="1:17" ht="16.5" customHeight="1" x14ac:dyDescent="0.25">
      <c r="A201" s="37" t="s">
        <v>536</v>
      </c>
      <c r="B201" s="1"/>
      <c r="C201" s="15" t="s">
        <v>279</v>
      </c>
      <c r="D201" s="120" t="s">
        <v>272</v>
      </c>
      <c r="E201" s="19">
        <f t="shared" si="5"/>
        <v>246</v>
      </c>
      <c r="F201" s="19"/>
      <c r="G201" s="19"/>
      <c r="H201" s="19">
        <v>246</v>
      </c>
      <c r="I201" s="4"/>
      <c r="J201" s="4"/>
      <c r="K201" s="4"/>
      <c r="L201" s="4"/>
      <c r="N201" s="44"/>
      <c r="O201" s="44"/>
      <c r="P201" s="44"/>
      <c r="Q201" s="44"/>
    </row>
    <row r="202" spans="1:17" ht="16.5" customHeight="1" x14ac:dyDescent="0.25">
      <c r="A202" s="37" t="s">
        <v>537</v>
      </c>
      <c r="B202" s="1"/>
      <c r="C202" s="15" t="s">
        <v>429</v>
      </c>
      <c r="D202" s="120" t="s">
        <v>272</v>
      </c>
      <c r="E202" s="19">
        <f t="shared" si="5"/>
        <v>82.5</v>
      </c>
      <c r="F202" s="19"/>
      <c r="G202" s="19"/>
      <c r="H202" s="19">
        <v>82.5</v>
      </c>
      <c r="I202" s="4"/>
      <c r="J202" s="4"/>
      <c r="K202" s="4"/>
      <c r="L202" s="4"/>
      <c r="N202" s="44"/>
      <c r="O202" s="44"/>
      <c r="P202" s="44"/>
      <c r="Q202" s="44"/>
    </row>
    <row r="203" spans="1:17" ht="26.4" x14ac:dyDescent="0.25">
      <c r="A203" s="37" t="s">
        <v>538</v>
      </c>
      <c r="B203" s="1"/>
      <c r="C203" s="38" t="s">
        <v>132</v>
      </c>
      <c r="D203" s="14" t="s">
        <v>190</v>
      </c>
      <c r="E203" s="19">
        <f t="shared" si="5"/>
        <v>30</v>
      </c>
      <c r="F203" s="19">
        <v>30</v>
      </c>
      <c r="G203" s="19"/>
      <c r="H203" s="19"/>
      <c r="I203" s="4"/>
      <c r="J203" s="4"/>
      <c r="K203" s="4"/>
      <c r="L203" s="4"/>
      <c r="N203" s="44"/>
      <c r="O203" s="44"/>
      <c r="P203" s="44"/>
      <c r="Q203" s="44"/>
    </row>
    <row r="204" spans="1:17" x14ac:dyDescent="0.25">
      <c r="A204" s="37" t="s">
        <v>539</v>
      </c>
      <c r="B204" s="1"/>
      <c r="C204" s="38" t="s">
        <v>133</v>
      </c>
      <c r="D204" s="14" t="s">
        <v>190</v>
      </c>
      <c r="E204" s="19">
        <f>+F204+H204</f>
        <v>40</v>
      </c>
      <c r="F204" s="19">
        <v>40</v>
      </c>
      <c r="G204" s="19"/>
      <c r="H204" s="19"/>
      <c r="I204" s="4"/>
      <c r="J204" s="4"/>
      <c r="K204" s="4"/>
      <c r="L204" s="4"/>
      <c r="N204" s="44"/>
      <c r="O204" s="44"/>
      <c r="P204" s="44"/>
      <c r="Q204" s="44"/>
    </row>
    <row r="205" spans="1:17" ht="26.4" x14ac:dyDescent="0.25">
      <c r="A205" s="37" t="s">
        <v>540</v>
      </c>
      <c r="B205" s="1"/>
      <c r="C205" s="38" t="s">
        <v>430</v>
      </c>
      <c r="D205" s="14" t="s">
        <v>580</v>
      </c>
      <c r="E205" s="19">
        <f t="shared" si="5"/>
        <v>87</v>
      </c>
      <c r="F205" s="19"/>
      <c r="G205" s="19"/>
      <c r="H205" s="19">
        <v>87</v>
      </c>
      <c r="I205" s="4"/>
      <c r="J205" s="4"/>
      <c r="K205" s="4"/>
      <c r="L205" s="4"/>
      <c r="N205" s="44"/>
      <c r="O205" s="44"/>
      <c r="P205" s="44"/>
      <c r="Q205" s="44"/>
    </row>
    <row r="206" spans="1:17" ht="26.4" x14ac:dyDescent="0.25">
      <c r="A206" s="37" t="s">
        <v>541</v>
      </c>
      <c r="B206" s="1"/>
      <c r="C206" s="38" t="s">
        <v>431</v>
      </c>
      <c r="D206" s="14" t="s">
        <v>162</v>
      </c>
      <c r="E206" s="19">
        <f t="shared" si="5"/>
        <v>15</v>
      </c>
      <c r="F206" s="19"/>
      <c r="G206" s="19"/>
      <c r="H206" s="19">
        <v>15</v>
      </c>
      <c r="I206" s="4"/>
      <c r="J206" s="4"/>
      <c r="K206" s="4"/>
      <c r="L206" s="4"/>
      <c r="N206" s="44"/>
      <c r="O206" s="44"/>
      <c r="P206" s="44"/>
      <c r="Q206" s="44"/>
    </row>
    <row r="207" spans="1:17" ht="26.4" x14ac:dyDescent="0.25">
      <c r="A207" s="37" t="s">
        <v>542</v>
      </c>
      <c r="B207" s="1"/>
      <c r="C207" s="38" t="s">
        <v>432</v>
      </c>
      <c r="D207" s="14" t="s">
        <v>162</v>
      </c>
      <c r="E207" s="19">
        <f t="shared" si="5"/>
        <v>172</v>
      </c>
      <c r="F207" s="19"/>
      <c r="G207" s="19"/>
      <c r="H207" s="19">
        <v>172</v>
      </c>
      <c r="I207" s="4"/>
      <c r="J207" s="4"/>
      <c r="K207" s="4"/>
      <c r="L207" s="4"/>
      <c r="N207" s="44"/>
      <c r="O207" s="44"/>
      <c r="P207" s="44"/>
      <c r="Q207" s="44"/>
    </row>
    <row r="208" spans="1:17" ht="26.4" x14ac:dyDescent="0.25">
      <c r="A208" s="37" t="s">
        <v>543</v>
      </c>
      <c r="B208" s="1"/>
      <c r="C208" s="15" t="s">
        <v>433</v>
      </c>
      <c r="D208" s="14" t="s">
        <v>92</v>
      </c>
      <c r="E208" s="19">
        <f t="shared" si="5"/>
        <v>11</v>
      </c>
      <c r="F208" s="19"/>
      <c r="G208" s="19"/>
      <c r="H208" s="19">
        <v>11</v>
      </c>
      <c r="I208" s="4"/>
      <c r="J208" s="4"/>
      <c r="K208" s="4"/>
      <c r="L208" s="4"/>
      <c r="N208" s="44"/>
      <c r="O208" s="44"/>
      <c r="P208" s="44"/>
      <c r="Q208" s="44"/>
    </row>
    <row r="209" spans="1:17" ht="26.4" x14ac:dyDescent="0.25">
      <c r="A209" s="37" t="s">
        <v>544</v>
      </c>
      <c r="B209" s="1"/>
      <c r="C209" s="38" t="s">
        <v>222</v>
      </c>
      <c r="D209" s="14" t="s">
        <v>92</v>
      </c>
      <c r="E209" s="19">
        <f t="shared" si="5"/>
        <v>5</v>
      </c>
      <c r="F209" s="19"/>
      <c r="G209" s="19"/>
      <c r="H209" s="19">
        <v>5</v>
      </c>
      <c r="I209" s="4"/>
      <c r="J209" s="4"/>
      <c r="K209" s="4"/>
      <c r="L209" s="4"/>
      <c r="N209" s="44"/>
      <c r="O209" s="44"/>
      <c r="P209" s="44"/>
      <c r="Q209" s="44"/>
    </row>
    <row r="210" spans="1:17" ht="26.4" x14ac:dyDescent="0.25">
      <c r="A210" s="37" t="s">
        <v>545</v>
      </c>
      <c r="B210" s="1"/>
      <c r="C210" s="38" t="s">
        <v>176</v>
      </c>
      <c r="D210" s="14" t="s">
        <v>92</v>
      </c>
      <c r="E210" s="19">
        <f t="shared" si="5"/>
        <v>24.2</v>
      </c>
      <c r="F210" s="19"/>
      <c r="G210" s="19"/>
      <c r="H210" s="19">
        <f>20+4.2</f>
        <v>24.2</v>
      </c>
      <c r="I210" s="4"/>
      <c r="J210" s="4"/>
      <c r="K210" s="4"/>
      <c r="L210" s="4"/>
      <c r="N210" s="44"/>
      <c r="O210" s="44"/>
      <c r="P210" s="44"/>
      <c r="Q210" s="44"/>
    </row>
    <row r="211" spans="1:17" ht="39.6" x14ac:dyDescent="0.25">
      <c r="A211" s="37" t="s">
        <v>546</v>
      </c>
      <c r="B211" s="1"/>
      <c r="C211" s="15" t="s">
        <v>434</v>
      </c>
      <c r="D211" s="14" t="s">
        <v>124</v>
      </c>
      <c r="E211" s="19">
        <f t="shared" si="5"/>
        <v>51</v>
      </c>
      <c r="F211" s="19"/>
      <c r="G211" s="19"/>
      <c r="H211" s="19">
        <f>57-6</f>
        <v>51</v>
      </c>
      <c r="I211" s="4"/>
      <c r="J211" s="4"/>
      <c r="K211" s="4"/>
      <c r="L211" s="4"/>
      <c r="N211" s="44"/>
      <c r="O211" s="44"/>
      <c r="P211" s="44"/>
      <c r="Q211" s="44"/>
    </row>
    <row r="212" spans="1:17" x14ac:dyDescent="0.25">
      <c r="A212" s="37" t="s">
        <v>547</v>
      </c>
      <c r="B212" s="1"/>
      <c r="C212" s="38" t="s">
        <v>134</v>
      </c>
      <c r="D212" s="14" t="s">
        <v>190</v>
      </c>
      <c r="E212" s="19">
        <f t="shared" si="5"/>
        <v>60</v>
      </c>
      <c r="F212" s="19">
        <f>50+10</f>
        <v>60</v>
      </c>
      <c r="G212" s="19"/>
      <c r="H212" s="19"/>
      <c r="I212" s="4"/>
      <c r="J212" s="4"/>
      <c r="K212" s="4"/>
      <c r="L212" s="4"/>
      <c r="N212" s="44"/>
      <c r="O212" s="44"/>
      <c r="P212" s="44"/>
      <c r="Q212" s="44"/>
    </row>
    <row r="213" spans="1:17" x14ac:dyDescent="0.25">
      <c r="A213" s="37" t="s">
        <v>548</v>
      </c>
      <c r="B213" s="1"/>
      <c r="C213" s="38" t="s">
        <v>209</v>
      </c>
      <c r="D213" s="14" t="s">
        <v>190</v>
      </c>
      <c r="E213" s="19">
        <f t="shared" si="5"/>
        <v>100.5</v>
      </c>
      <c r="F213" s="19">
        <f>20+6</f>
        <v>26</v>
      </c>
      <c r="G213" s="19"/>
      <c r="H213" s="19">
        <f>30+38.5+6</f>
        <v>74.5</v>
      </c>
      <c r="I213" s="4"/>
      <c r="J213" s="4"/>
      <c r="K213" s="4"/>
      <c r="L213" s="4"/>
      <c r="M213" s="46"/>
      <c r="N213" s="44"/>
      <c r="O213" s="44"/>
      <c r="P213" s="44"/>
      <c r="Q213" s="44"/>
    </row>
    <row r="214" spans="1:17" ht="26.4" x14ac:dyDescent="0.25">
      <c r="A214" s="37" t="s">
        <v>549</v>
      </c>
      <c r="B214" s="1"/>
      <c r="C214" s="38" t="s">
        <v>379</v>
      </c>
      <c r="D214" s="121" t="s">
        <v>124</v>
      </c>
      <c r="E214" s="19">
        <f t="shared" si="5"/>
        <v>6.5</v>
      </c>
      <c r="F214" s="19"/>
      <c r="G214" s="19"/>
      <c r="H214" s="19">
        <v>6.5</v>
      </c>
      <c r="I214" s="4"/>
      <c r="J214" s="4"/>
      <c r="K214" s="4"/>
      <c r="L214" s="4"/>
      <c r="N214" s="44"/>
      <c r="O214" s="44"/>
      <c r="P214" s="44"/>
      <c r="Q214" s="44"/>
    </row>
    <row r="215" spans="1:17" ht="26.4" x14ac:dyDescent="0.25">
      <c r="A215" s="37" t="s">
        <v>550</v>
      </c>
      <c r="B215" s="1"/>
      <c r="C215" s="38" t="s">
        <v>380</v>
      </c>
      <c r="D215" s="121" t="s">
        <v>124</v>
      </c>
      <c r="E215" s="19">
        <f t="shared" si="5"/>
        <v>2.7</v>
      </c>
      <c r="F215" s="19"/>
      <c r="G215" s="19"/>
      <c r="H215" s="19">
        <v>2.7</v>
      </c>
      <c r="I215" s="4"/>
      <c r="J215" s="4"/>
      <c r="K215" s="4"/>
      <c r="L215" s="4"/>
      <c r="N215" s="44"/>
      <c r="O215" s="44"/>
      <c r="P215" s="44"/>
      <c r="Q215" s="44"/>
    </row>
    <row r="216" spans="1:17" ht="26.4" x14ac:dyDescent="0.25">
      <c r="A216" s="37" t="s">
        <v>551</v>
      </c>
      <c r="B216" s="1"/>
      <c r="C216" s="38" t="s">
        <v>381</v>
      </c>
      <c r="D216" s="121" t="s">
        <v>124</v>
      </c>
      <c r="E216" s="19">
        <f t="shared" si="5"/>
        <v>20</v>
      </c>
      <c r="F216" s="19"/>
      <c r="G216" s="19"/>
      <c r="H216" s="19">
        <v>20</v>
      </c>
      <c r="I216" s="4"/>
      <c r="J216" s="4"/>
      <c r="K216" s="4"/>
      <c r="L216" s="4"/>
      <c r="N216" s="44"/>
      <c r="O216" s="44"/>
      <c r="P216" s="44"/>
      <c r="Q216" s="44"/>
    </row>
    <row r="217" spans="1:17" ht="14.25" customHeight="1" x14ac:dyDescent="0.25">
      <c r="A217" s="37" t="s">
        <v>552</v>
      </c>
      <c r="B217" s="1"/>
      <c r="C217" s="38" t="s">
        <v>135</v>
      </c>
      <c r="D217" s="14" t="s">
        <v>190</v>
      </c>
      <c r="E217" s="19">
        <f t="shared" si="5"/>
        <v>30</v>
      </c>
      <c r="F217" s="19">
        <v>30</v>
      </c>
      <c r="G217" s="19"/>
      <c r="H217" s="19"/>
      <c r="I217" s="4"/>
      <c r="J217" s="4"/>
      <c r="K217" s="4"/>
      <c r="L217" s="4"/>
      <c r="N217" s="44"/>
      <c r="O217" s="44"/>
      <c r="P217" s="44"/>
      <c r="Q217" s="44"/>
    </row>
    <row r="218" spans="1:17" ht="29.4" customHeight="1" x14ac:dyDescent="0.25">
      <c r="A218" s="37" t="s">
        <v>553</v>
      </c>
      <c r="B218" s="1"/>
      <c r="C218" s="15" t="s">
        <v>181</v>
      </c>
      <c r="D218" s="14" t="s">
        <v>187</v>
      </c>
      <c r="E218" s="19">
        <f t="shared" si="5"/>
        <v>122.30000000000001</v>
      </c>
      <c r="F218" s="19">
        <f>7.4+1</f>
        <v>8.4</v>
      </c>
      <c r="G218" s="19"/>
      <c r="H218" s="19">
        <f>140.4-26.5</f>
        <v>113.9</v>
      </c>
      <c r="I218" s="4"/>
      <c r="J218" s="4"/>
      <c r="K218" s="4"/>
      <c r="L218" s="4"/>
      <c r="N218" s="44"/>
      <c r="O218" s="44"/>
      <c r="P218" s="44"/>
      <c r="Q218" s="44"/>
    </row>
    <row r="219" spans="1:17" ht="39.6" x14ac:dyDescent="0.25">
      <c r="A219" s="37" t="s">
        <v>554</v>
      </c>
      <c r="B219" s="1"/>
      <c r="C219" s="38" t="s">
        <v>155</v>
      </c>
      <c r="D219" s="14" t="s">
        <v>94</v>
      </c>
      <c r="E219" s="19">
        <f t="shared" si="5"/>
        <v>3</v>
      </c>
      <c r="F219" s="19">
        <v>1</v>
      </c>
      <c r="G219" s="19"/>
      <c r="H219" s="19">
        <v>2</v>
      </c>
      <c r="I219" s="4"/>
      <c r="J219" s="4"/>
      <c r="K219" s="4"/>
      <c r="L219" s="4"/>
      <c r="N219" s="44"/>
      <c r="O219" s="44"/>
      <c r="P219" s="44"/>
      <c r="Q219" s="44"/>
    </row>
    <row r="220" spans="1:17" ht="26.4" x14ac:dyDescent="0.25">
      <c r="A220" s="37" t="s">
        <v>555</v>
      </c>
      <c r="B220" s="1"/>
      <c r="C220" s="15" t="s">
        <v>245</v>
      </c>
      <c r="D220" s="14" t="s">
        <v>190</v>
      </c>
      <c r="E220" s="19">
        <f t="shared" si="5"/>
        <v>200</v>
      </c>
      <c r="F220" s="19">
        <v>0.8</v>
      </c>
      <c r="G220" s="19"/>
      <c r="H220" s="19">
        <f>200-0.8</f>
        <v>199.2</v>
      </c>
      <c r="I220" s="4"/>
      <c r="J220" s="4"/>
      <c r="K220" s="4"/>
      <c r="L220" s="4"/>
      <c r="N220" s="44"/>
      <c r="O220" s="44"/>
      <c r="P220" s="44"/>
      <c r="Q220" s="44"/>
    </row>
    <row r="221" spans="1:17" ht="26.4" x14ac:dyDescent="0.25">
      <c r="A221" s="37" t="s">
        <v>772</v>
      </c>
      <c r="B221" s="1"/>
      <c r="C221" s="15" t="s">
        <v>775</v>
      </c>
      <c r="D221" s="14" t="s">
        <v>580</v>
      </c>
      <c r="E221" s="19">
        <f t="shared" si="5"/>
        <v>4</v>
      </c>
      <c r="F221" s="19"/>
      <c r="G221" s="19"/>
      <c r="H221" s="19">
        <v>4</v>
      </c>
      <c r="I221" s="4"/>
      <c r="J221" s="4"/>
      <c r="K221" s="4"/>
      <c r="L221" s="4"/>
      <c r="N221" s="44"/>
      <c r="O221" s="44"/>
      <c r="P221" s="44"/>
      <c r="Q221" s="44"/>
    </row>
    <row r="222" spans="1:17" ht="26.4" x14ac:dyDescent="0.25">
      <c r="A222" s="37" t="s">
        <v>773</v>
      </c>
      <c r="B222" s="1"/>
      <c r="C222" s="15" t="s">
        <v>776</v>
      </c>
      <c r="D222" s="14" t="s">
        <v>580</v>
      </c>
      <c r="E222" s="19">
        <f t="shared" si="5"/>
        <v>7.6</v>
      </c>
      <c r="F222" s="19"/>
      <c r="G222" s="19"/>
      <c r="H222" s="19">
        <v>7.6</v>
      </c>
      <c r="I222" s="4"/>
      <c r="J222" s="4"/>
      <c r="K222" s="4"/>
      <c r="L222" s="4"/>
      <c r="N222" s="44"/>
      <c r="O222" s="44"/>
      <c r="P222" s="44"/>
      <c r="Q222" s="44"/>
    </row>
    <row r="223" spans="1:17" ht="26.4" x14ac:dyDescent="0.25">
      <c r="A223" s="37" t="s">
        <v>774</v>
      </c>
      <c r="B223" s="1"/>
      <c r="C223" s="15" t="s">
        <v>777</v>
      </c>
      <c r="D223" s="14" t="s">
        <v>580</v>
      </c>
      <c r="E223" s="19">
        <f t="shared" si="5"/>
        <v>15</v>
      </c>
      <c r="F223" s="19"/>
      <c r="G223" s="19"/>
      <c r="H223" s="19">
        <v>15</v>
      </c>
      <c r="I223" s="4"/>
      <c r="J223" s="4"/>
      <c r="K223" s="4"/>
      <c r="L223" s="4"/>
      <c r="N223" s="44"/>
      <c r="O223" s="44"/>
      <c r="P223" s="44"/>
      <c r="Q223" s="44"/>
    </row>
    <row r="224" spans="1:17" ht="39.6" x14ac:dyDescent="0.25">
      <c r="A224" s="37" t="s">
        <v>796</v>
      </c>
      <c r="B224" s="1"/>
      <c r="C224" s="15" t="s">
        <v>435</v>
      </c>
      <c r="D224" s="14" t="s">
        <v>93</v>
      </c>
      <c r="E224" s="19">
        <f t="shared" si="5"/>
        <v>190</v>
      </c>
      <c r="F224" s="19"/>
      <c r="G224" s="19"/>
      <c r="H224" s="19">
        <v>190</v>
      </c>
      <c r="I224" s="4"/>
      <c r="J224" s="4"/>
      <c r="K224" s="4"/>
      <c r="L224" s="4"/>
      <c r="N224" s="44"/>
      <c r="O224" s="44"/>
      <c r="P224" s="44"/>
      <c r="Q224" s="44"/>
    </row>
    <row r="225" spans="1:17" ht="26.4" x14ac:dyDescent="0.25">
      <c r="A225" s="12">
        <v>83</v>
      </c>
      <c r="B225" s="11"/>
      <c r="C225" s="15" t="s">
        <v>8</v>
      </c>
      <c r="D225" s="14" t="s">
        <v>93</v>
      </c>
      <c r="E225" s="19">
        <f t="shared" si="5"/>
        <v>199.4</v>
      </c>
      <c r="F225" s="19">
        <f>195.8+3.6</f>
        <v>199.4</v>
      </c>
      <c r="G225" s="19"/>
      <c r="H225" s="19"/>
      <c r="I225" s="4"/>
      <c r="J225" s="4"/>
      <c r="K225" s="4"/>
      <c r="L225" s="4"/>
      <c r="N225" s="44"/>
      <c r="O225" s="44"/>
      <c r="P225" s="44"/>
      <c r="Q225" s="44"/>
    </row>
    <row r="226" spans="1:17" ht="27" customHeight="1" x14ac:dyDescent="0.25">
      <c r="A226" s="12">
        <v>84</v>
      </c>
      <c r="B226" s="11"/>
      <c r="C226" s="15" t="s">
        <v>4</v>
      </c>
      <c r="D226" s="14" t="s">
        <v>92</v>
      </c>
      <c r="E226" s="19">
        <f t="shared" si="5"/>
        <v>23</v>
      </c>
      <c r="F226" s="19">
        <v>23</v>
      </c>
      <c r="G226" s="19"/>
      <c r="H226" s="19"/>
      <c r="I226" s="4"/>
      <c r="J226" s="4"/>
      <c r="K226" s="4"/>
      <c r="L226" s="4"/>
      <c r="N226" s="44"/>
      <c r="O226" s="44"/>
      <c r="P226" s="44"/>
      <c r="Q226" s="44"/>
    </row>
    <row r="227" spans="1:17" ht="27" customHeight="1" x14ac:dyDescent="0.25">
      <c r="A227" s="12">
        <v>85</v>
      </c>
      <c r="B227" s="11"/>
      <c r="C227" s="15" t="s">
        <v>5</v>
      </c>
      <c r="D227" s="14" t="s">
        <v>92</v>
      </c>
      <c r="E227" s="19">
        <f t="shared" si="5"/>
        <v>10</v>
      </c>
      <c r="F227" s="19">
        <v>10</v>
      </c>
      <c r="G227" s="19"/>
      <c r="H227" s="19"/>
      <c r="I227" s="4"/>
      <c r="J227" s="4"/>
      <c r="K227" s="4"/>
      <c r="L227" s="4"/>
      <c r="N227" s="44"/>
      <c r="O227" s="44"/>
      <c r="P227" s="44"/>
      <c r="Q227" s="44"/>
    </row>
    <row r="228" spans="1:17" ht="27" customHeight="1" x14ac:dyDescent="0.25">
      <c r="A228" s="12">
        <v>86</v>
      </c>
      <c r="B228" s="11"/>
      <c r="C228" s="16" t="s">
        <v>7</v>
      </c>
      <c r="D228" s="14" t="s">
        <v>92</v>
      </c>
      <c r="E228" s="19">
        <f t="shared" si="5"/>
        <v>19.100000000000001</v>
      </c>
      <c r="F228" s="19">
        <f>17.1+2</f>
        <v>19.100000000000001</v>
      </c>
      <c r="G228" s="19"/>
      <c r="H228" s="19"/>
      <c r="I228" s="4"/>
      <c r="J228" s="4"/>
      <c r="K228" s="4"/>
      <c r="L228" s="4"/>
      <c r="N228" s="44"/>
      <c r="O228" s="44"/>
      <c r="P228" s="44"/>
      <c r="Q228" s="44"/>
    </row>
    <row r="229" spans="1:17" ht="27" customHeight="1" x14ac:dyDescent="0.25">
      <c r="A229" s="12">
        <v>87</v>
      </c>
      <c r="B229" s="11"/>
      <c r="C229" s="15" t="s">
        <v>6</v>
      </c>
      <c r="D229" s="14" t="s">
        <v>92</v>
      </c>
      <c r="E229" s="19">
        <f t="shared" si="5"/>
        <v>15</v>
      </c>
      <c r="F229" s="19">
        <v>15</v>
      </c>
      <c r="G229" s="19"/>
      <c r="H229" s="19"/>
      <c r="I229" s="4"/>
      <c r="J229" s="4"/>
      <c r="K229" s="4"/>
      <c r="L229" s="4"/>
      <c r="N229" s="44"/>
      <c r="O229" s="44"/>
      <c r="P229" s="44"/>
      <c r="Q229" s="44"/>
    </row>
    <row r="230" spans="1:17" ht="27" customHeight="1" x14ac:dyDescent="0.25">
      <c r="A230" s="12">
        <v>88</v>
      </c>
      <c r="B230" s="11"/>
      <c r="C230" s="15" t="s">
        <v>9</v>
      </c>
      <c r="D230" s="14" t="s">
        <v>92</v>
      </c>
      <c r="E230" s="19">
        <f t="shared" si="5"/>
        <v>18.899999999999999</v>
      </c>
      <c r="F230" s="19">
        <f>17.4+1.5</f>
        <v>18.899999999999999</v>
      </c>
      <c r="G230" s="19"/>
      <c r="H230" s="19"/>
      <c r="I230" s="4"/>
      <c r="J230" s="4"/>
      <c r="K230" s="4"/>
      <c r="L230" s="4"/>
      <c r="N230" s="44"/>
      <c r="O230" s="44"/>
      <c r="P230" s="44"/>
      <c r="Q230" s="44"/>
    </row>
    <row r="231" spans="1:17" ht="27" customHeight="1" x14ac:dyDescent="0.25">
      <c r="A231" s="12">
        <v>89</v>
      </c>
      <c r="B231" s="11"/>
      <c r="C231" s="16" t="s">
        <v>10</v>
      </c>
      <c r="D231" s="14" t="s">
        <v>92</v>
      </c>
      <c r="E231" s="19">
        <f t="shared" si="5"/>
        <v>14</v>
      </c>
      <c r="F231" s="19">
        <f>12+2</f>
        <v>14</v>
      </c>
      <c r="G231" s="19"/>
      <c r="H231" s="19"/>
      <c r="I231" s="4"/>
      <c r="J231" s="4"/>
      <c r="K231" s="4"/>
      <c r="L231" s="4"/>
      <c r="N231" s="44"/>
      <c r="O231" s="44"/>
      <c r="P231" s="44"/>
      <c r="Q231" s="44"/>
    </row>
    <row r="232" spans="1:17" ht="27" customHeight="1" x14ac:dyDescent="0.25">
      <c r="A232" s="12">
        <v>90</v>
      </c>
      <c r="B232" s="11"/>
      <c r="C232" s="15" t="s">
        <v>12</v>
      </c>
      <c r="D232" s="14" t="s">
        <v>92</v>
      </c>
      <c r="E232" s="19">
        <f t="shared" si="5"/>
        <v>12</v>
      </c>
      <c r="F232" s="19">
        <v>12</v>
      </c>
      <c r="G232" s="19"/>
      <c r="H232" s="19"/>
      <c r="I232" s="4"/>
      <c r="J232" s="4"/>
      <c r="K232" s="4"/>
      <c r="L232" s="4"/>
      <c r="N232" s="44"/>
      <c r="O232" s="44"/>
      <c r="P232" s="44"/>
      <c r="Q232" s="44"/>
    </row>
    <row r="233" spans="1:17" ht="27" customHeight="1" x14ac:dyDescent="0.25">
      <c r="A233" s="12">
        <v>91</v>
      </c>
      <c r="B233" s="11"/>
      <c r="C233" s="15" t="s">
        <v>125</v>
      </c>
      <c r="D233" s="14" t="s">
        <v>92</v>
      </c>
      <c r="E233" s="19">
        <f t="shared" si="5"/>
        <v>11</v>
      </c>
      <c r="F233" s="19">
        <v>11</v>
      </c>
      <c r="G233" s="19"/>
      <c r="H233" s="19"/>
      <c r="I233" s="4"/>
      <c r="J233" s="4"/>
      <c r="K233" s="4"/>
      <c r="L233" s="4"/>
      <c r="N233" s="44"/>
      <c r="O233" s="44"/>
      <c r="P233" s="44"/>
      <c r="Q233" s="44"/>
    </row>
    <row r="234" spans="1:17" ht="27" customHeight="1" x14ac:dyDescent="0.25">
      <c r="A234" s="12">
        <v>92</v>
      </c>
      <c r="B234" s="11"/>
      <c r="C234" s="15" t="s">
        <v>13</v>
      </c>
      <c r="D234" s="14" t="s">
        <v>92</v>
      </c>
      <c r="E234" s="19">
        <f t="shared" si="5"/>
        <v>10.8</v>
      </c>
      <c r="F234" s="19">
        <f>12-1.2</f>
        <v>10.8</v>
      </c>
      <c r="G234" s="19"/>
      <c r="H234" s="19"/>
      <c r="I234" s="4"/>
      <c r="J234" s="4"/>
      <c r="K234" s="4"/>
      <c r="L234" s="4"/>
      <c r="N234" s="44"/>
      <c r="O234" s="44"/>
      <c r="P234" s="44"/>
      <c r="Q234" s="44"/>
    </row>
    <row r="235" spans="1:17" ht="27" customHeight="1" x14ac:dyDescent="0.25">
      <c r="A235" s="12">
        <v>93</v>
      </c>
      <c r="B235" s="1"/>
      <c r="C235" s="15" t="s">
        <v>14</v>
      </c>
      <c r="D235" s="14" t="s">
        <v>92</v>
      </c>
      <c r="E235" s="19">
        <f t="shared" si="5"/>
        <v>15.8</v>
      </c>
      <c r="F235" s="19">
        <v>15.8</v>
      </c>
      <c r="G235" s="19"/>
      <c r="H235" s="19"/>
      <c r="I235" s="4"/>
      <c r="J235" s="4"/>
      <c r="K235" s="4"/>
      <c r="L235" s="4"/>
      <c r="N235" s="44"/>
      <c r="O235" s="44"/>
      <c r="P235" s="44"/>
      <c r="Q235" s="44"/>
    </row>
    <row r="236" spans="1:17" ht="27" customHeight="1" x14ac:dyDescent="0.25">
      <c r="A236" s="12">
        <v>94</v>
      </c>
      <c r="B236" s="11" t="s">
        <v>95</v>
      </c>
      <c r="C236" s="17" t="s">
        <v>96</v>
      </c>
      <c r="D236" s="9"/>
      <c r="E236" s="93">
        <f t="shared" si="5"/>
        <v>4160.2999999999993</v>
      </c>
      <c r="F236" s="93">
        <f>+F251+F252+F254+F253+F250+F255+F256+F258+F257+F259+F260+F237</f>
        <v>4028.5999999999995</v>
      </c>
      <c r="G236" s="93">
        <f>+G251+G252+G254+G253+G250+G255+G256+G258+G257+G259+G260+G237</f>
        <v>673.40000000000009</v>
      </c>
      <c r="H236" s="93">
        <f>+H251+H252+H254+H253+H250+H255+H256+H258+H257+H259+H260+H237</f>
        <v>131.70000000000002</v>
      </c>
      <c r="I236" s="4"/>
      <c r="J236" s="4"/>
      <c r="K236" s="4"/>
      <c r="L236" s="4"/>
      <c r="N236" s="44"/>
      <c r="O236" s="44"/>
      <c r="P236" s="44"/>
      <c r="Q236" s="44"/>
    </row>
    <row r="237" spans="1:17" ht="20.100000000000001" customHeight="1" x14ac:dyDescent="0.25">
      <c r="A237" s="12">
        <v>95</v>
      </c>
      <c r="B237" s="1"/>
      <c r="C237" s="16" t="s">
        <v>211</v>
      </c>
      <c r="D237" s="14"/>
      <c r="E237" s="19">
        <f>+F237+H237</f>
        <v>2241.5</v>
      </c>
      <c r="F237" s="19">
        <f>+F238+F239+F247+F248+F249</f>
        <v>2135.1999999999998</v>
      </c>
      <c r="G237" s="19">
        <f>+G238+G239+G247+G248+G249</f>
        <v>0</v>
      </c>
      <c r="H237" s="19">
        <f>+H238+H239+H247+H248+H249</f>
        <v>106.30000000000001</v>
      </c>
      <c r="I237" s="4"/>
      <c r="J237" s="4"/>
      <c r="K237" s="4"/>
      <c r="L237" s="4"/>
      <c r="N237" s="44"/>
      <c r="O237" s="44"/>
      <c r="P237" s="44"/>
      <c r="Q237" s="44"/>
    </row>
    <row r="238" spans="1:17" ht="19.5" customHeight="1" x14ac:dyDescent="0.25">
      <c r="A238" s="37" t="s">
        <v>556</v>
      </c>
      <c r="B238" s="1"/>
      <c r="C238" s="122" t="s">
        <v>3</v>
      </c>
      <c r="D238" s="1" t="s">
        <v>161</v>
      </c>
      <c r="E238" s="19">
        <f t="shared" ref="E238:E272" si="6">+F238+H238</f>
        <v>20.399999999999999</v>
      </c>
      <c r="F238" s="19">
        <v>20.399999999999999</v>
      </c>
      <c r="G238" s="19"/>
      <c r="H238" s="19"/>
      <c r="I238" s="4"/>
      <c r="J238" s="4"/>
      <c r="K238" s="4"/>
      <c r="L238" s="4"/>
      <c r="N238" s="44"/>
      <c r="O238" s="44"/>
      <c r="P238" s="44"/>
      <c r="Q238" s="44"/>
    </row>
    <row r="239" spans="1:17" ht="41.4" x14ac:dyDescent="0.25">
      <c r="A239" s="37" t="s">
        <v>557</v>
      </c>
      <c r="B239" s="1"/>
      <c r="C239" s="102" t="s">
        <v>392</v>
      </c>
      <c r="D239" s="11"/>
      <c r="E239" s="108">
        <f t="shared" si="6"/>
        <v>212.3</v>
      </c>
      <c r="F239" s="108">
        <f>+F240+F241+F242+F243+F244+F245+F246</f>
        <v>155</v>
      </c>
      <c r="G239" s="108">
        <f>+G240+G241+G242+G243+G244+G245+G246</f>
        <v>0</v>
      </c>
      <c r="H239" s="108">
        <f>+H240+H241+H242+H243+H244+H245+H246</f>
        <v>57.300000000000004</v>
      </c>
      <c r="I239" s="4"/>
      <c r="J239" s="4"/>
      <c r="K239" s="4"/>
      <c r="L239" s="4"/>
      <c r="N239" s="44"/>
      <c r="O239" s="44"/>
      <c r="P239" s="44"/>
      <c r="Q239" s="44"/>
    </row>
    <row r="240" spans="1:17" x14ac:dyDescent="0.25">
      <c r="A240" s="37" t="s">
        <v>558</v>
      </c>
      <c r="B240" s="1"/>
      <c r="C240" s="32" t="s">
        <v>226</v>
      </c>
      <c r="D240" s="1" t="s">
        <v>190</v>
      </c>
      <c r="E240" s="19">
        <f t="shared" si="6"/>
        <v>100</v>
      </c>
      <c r="F240" s="19">
        <v>100</v>
      </c>
      <c r="G240" s="108"/>
      <c r="H240" s="108"/>
      <c r="I240" s="4"/>
      <c r="J240" s="4"/>
      <c r="K240" s="4"/>
      <c r="L240" s="4"/>
      <c r="N240" s="44"/>
      <c r="O240" s="44"/>
      <c r="P240" s="44"/>
      <c r="Q240" s="44"/>
    </row>
    <row r="241" spans="1:17" ht="26.4" x14ac:dyDescent="0.25">
      <c r="A241" s="37" t="s">
        <v>559</v>
      </c>
      <c r="B241" s="1"/>
      <c r="C241" s="38" t="s">
        <v>182</v>
      </c>
      <c r="D241" s="123" t="s">
        <v>98</v>
      </c>
      <c r="E241" s="40">
        <f t="shared" si="6"/>
        <v>47.000000000000007</v>
      </c>
      <c r="F241" s="40">
        <f>0.6+0.1</f>
        <v>0.7</v>
      </c>
      <c r="G241" s="19"/>
      <c r="H241" s="19">
        <f>81.4-35-0.1</f>
        <v>46.300000000000004</v>
      </c>
      <c r="I241" s="4"/>
      <c r="J241" s="4"/>
      <c r="K241" s="4"/>
      <c r="L241" s="4"/>
      <c r="N241" s="44"/>
      <c r="O241" s="44"/>
      <c r="P241" s="44"/>
      <c r="Q241" s="44"/>
    </row>
    <row r="242" spans="1:17" ht="39.6" x14ac:dyDescent="0.25">
      <c r="A242" s="37" t="s">
        <v>560</v>
      </c>
      <c r="B242" s="1"/>
      <c r="C242" s="38" t="s">
        <v>264</v>
      </c>
      <c r="D242" s="1" t="s">
        <v>161</v>
      </c>
      <c r="E242" s="40">
        <f t="shared" si="6"/>
        <v>15</v>
      </c>
      <c r="F242" s="40">
        <v>15</v>
      </c>
      <c r="G242" s="19"/>
      <c r="H242" s="19"/>
      <c r="I242" s="4"/>
      <c r="J242" s="4"/>
      <c r="K242" s="4"/>
      <c r="L242" s="4"/>
      <c r="N242" s="44"/>
      <c r="O242" s="44"/>
      <c r="P242" s="44"/>
      <c r="Q242" s="44"/>
    </row>
    <row r="243" spans="1:17" ht="26.4" x14ac:dyDescent="0.25">
      <c r="A243" s="37" t="s">
        <v>561</v>
      </c>
      <c r="B243" s="1"/>
      <c r="C243" s="38" t="s">
        <v>183</v>
      </c>
      <c r="D243" s="1" t="s">
        <v>161</v>
      </c>
      <c r="E243" s="40">
        <f t="shared" si="6"/>
        <v>13.299999999999999</v>
      </c>
      <c r="F243" s="40">
        <f>23.7-10.4</f>
        <v>13.299999999999999</v>
      </c>
      <c r="G243" s="19"/>
      <c r="H243" s="19"/>
      <c r="I243" s="4"/>
      <c r="J243" s="4"/>
      <c r="K243" s="4"/>
      <c r="L243" s="4"/>
      <c r="N243" s="44"/>
      <c r="O243" s="44"/>
      <c r="P243" s="44"/>
      <c r="Q243" s="44"/>
    </row>
    <row r="244" spans="1:17" ht="26.4" x14ac:dyDescent="0.25">
      <c r="A244" s="37" t="s">
        <v>562</v>
      </c>
      <c r="B244" s="1"/>
      <c r="C244" s="38" t="s">
        <v>436</v>
      </c>
      <c r="D244" s="1" t="s">
        <v>84</v>
      </c>
      <c r="E244" s="40">
        <f t="shared" si="6"/>
        <v>16</v>
      </c>
      <c r="F244" s="40">
        <v>16</v>
      </c>
      <c r="G244" s="19"/>
      <c r="H244" s="19"/>
      <c r="I244" s="4"/>
      <c r="J244" s="4"/>
      <c r="K244" s="4"/>
      <c r="L244" s="4"/>
      <c r="N244" s="44"/>
      <c r="O244" s="44"/>
      <c r="P244" s="44"/>
      <c r="Q244" s="44"/>
    </row>
    <row r="245" spans="1:17" ht="26.4" x14ac:dyDescent="0.25">
      <c r="A245" s="37" t="s">
        <v>563</v>
      </c>
      <c r="B245" s="1"/>
      <c r="C245" s="38" t="s">
        <v>437</v>
      </c>
      <c r="D245" s="1" t="s">
        <v>84</v>
      </c>
      <c r="E245" s="40">
        <f t="shared" si="6"/>
        <v>10</v>
      </c>
      <c r="F245" s="40">
        <v>10</v>
      </c>
      <c r="G245" s="19"/>
      <c r="H245" s="19"/>
      <c r="I245" s="4"/>
      <c r="J245" s="4"/>
      <c r="K245" s="4"/>
      <c r="L245" s="4"/>
      <c r="N245" s="44"/>
      <c r="O245" s="44"/>
      <c r="P245" s="44"/>
      <c r="Q245" s="44"/>
    </row>
    <row r="246" spans="1:17" ht="26.4" x14ac:dyDescent="0.25">
      <c r="A246" s="37" t="s">
        <v>564</v>
      </c>
      <c r="B246" s="1"/>
      <c r="C246" s="38" t="s">
        <v>438</v>
      </c>
      <c r="D246" s="1" t="s">
        <v>84</v>
      </c>
      <c r="E246" s="40">
        <f t="shared" si="6"/>
        <v>11</v>
      </c>
      <c r="F246" s="40"/>
      <c r="G246" s="19"/>
      <c r="H246" s="19">
        <v>11</v>
      </c>
      <c r="I246" s="4"/>
      <c r="J246" s="4"/>
      <c r="K246" s="4"/>
      <c r="L246" s="4"/>
      <c r="N246" s="44"/>
      <c r="O246" s="44"/>
      <c r="P246" s="44"/>
      <c r="Q246" s="44"/>
    </row>
    <row r="247" spans="1:17" ht="27" customHeight="1" x14ac:dyDescent="0.25">
      <c r="A247" s="37" t="s">
        <v>565</v>
      </c>
      <c r="B247" s="1"/>
      <c r="C247" s="106" t="s">
        <v>377</v>
      </c>
      <c r="D247" s="123" t="s">
        <v>142</v>
      </c>
      <c r="E247" s="19">
        <f t="shared" si="6"/>
        <v>307</v>
      </c>
      <c r="F247" s="19">
        <v>267</v>
      </c>
      <c r="G247" s="19"/>
      <c r="H247" s="19">
        <v>40</v>
      </c>
      <c r="I247" s="4"/>
      <c r="J247" s="4"/>
      <c r="K247" s="4"/>
      <c r="L247" s="4"/>
      <c r="N247" s="44"/>
      <c r="O247" s="44"/>
      <c r="P247" s="44"/>
      <c r="Q247" s="44"/>
    </row>
    <row r="248" spans="1:17" ht="26.4" x14ac:dyDescent="0.25">
      <c r="A248" s="37" t="s">
        <v>566</v>
      </c>
      <c r="B248" s="1"/>
      <c r="C248" s="106" t="s">
        <v>263</v>
      </c>
      <c r="D248" s="123" t="s">
        <v>98</v>
      </c>
      <c r="E248" s="19">
        <f t="shared" si="6"/>
        <v>1610.8</v>
      </c>
      <c r="F248" s="19">
        <f>1000+110.8+350-9+150</f>
        <v>1601.8</v>
      </c>
      <c r="G248" s="19"/>
      <c r="H248" s="19">
        <v>9</v>
      </c>
      <c r="I248" s="4"/>
      <c r="J248" s="4"/>
      <c r="K248" s="4"/>
      <c r="L248" s="4"/>
      <c r="N248" s="44"/>
      <c r="O248" s="44"/>
      <c r="P248" s="44"/>
      <c r="Q248" s="44"/>
    </row>
    <row r="249" spans="1:17" ht="15" customHeight="1" x14ac:dyDescent="0.25">
      <c r="A249" s="37" t="s">
        <v>567</v>
      </c>
      <c r="B249" s="124"/>
      <c r="C249" s="106" t="s">
        <v>168</v>
      </c>
      <c r="D249" s="123" t="s">
        <v>98</v>
      </c>
      <c r="E249" s="19">
        <f t="shared" si="6"/>
        <v>91</v>
      </c>
      <c r="F249" s="19">
        <f>40+35+16</f>
        <v>91</v>
      </c>
      <c r="G249" s="19"/>
      <c r="H249" s="19"/>
      <c r="I249" s="4"/>
      <c r="J249" s="4"/>
      <c r="K249" s="4"/>
      <c r="L249" s="4"/>
      <c r="N249" s="44"/>
      <c r="O249" s="44"/>
      <c r="P249" s="44"/>
      <c r="Q249" s="44"/>
    </row>
    <row r="250" spans="1:17" ht="39.6" x14ac:dyDescent="0.25">
      <c r="A250" s="12">
        <v>96</v>
      </c>
      <c r="B250" s="1"/>
      <c r="C250" s="104" t="s">
        <v>8</v>
      </c>
      <c r="D250" s="39" t="s">
        <v>99</v>
      </c>
      <c r="E250" s="19">
        <f t="shared" si="6"/>
        <v>1045.3</v>
      </c>
      <c r="F250" s="19">
        <f>1035.5+5.1+4.7</f>
        <v>1045.3</v>
      </c>
      <c r="G250" s="19">
        <f>134.8+5</f>
        <v>139.80000000000001</v>
      </c>
      <c r="H250" s="19"/>
      <c r="I250" s="4"/>
      <c r="J250" s="4"/>
      <c r="K250" s="4"/>
      <c r="L250" s="4"/>
      <c r="N250" s="44"/>
      <c r="O250" s="44"/>
      <c r="P250" s="44"/>
      <c r="Q250" s="44"/>
    </row>
    <row r="251" spans="1:17" ht="26.4" x14ac:dyDescent="0.25">
      <c r="A251" s="12">
        <v>97</v>
      </c>
      <c r="B251" s="1"/>
      <c r="C251" s="15" t="s">
        <v>4</v>
      </c>
      <c r="D251" s="39" t="s">
        <v>97</v>
      </c>
      <c r="E251" s="19">
        <f t="shared" si="6"/>
        <v>114.80000000000001</v>
      </c>
      <c r="F251" s="19">
        <f>100.8+2.5-0.1+5.5+4.7</f>
        <v>113.4</v>
      </c>
      <c r="G251" s="19">
        <f>61.2+2.5-0.2+2.3</f>
        <v>65.8</v>
      </c>
      <c r="H251" s="19">
        <v>1.4</v>
      </c>
      <c r="I251" s="4"/>
      <c r="J251" s="4"/>
      <c r="K251" s="4"/>
      <c r="L251" s="4"/>
      <c r="N251" s="44"/>
      <c r="O251" s="44"/>
      <c r="P251" s="44"/>
      <c r="Q251" s="44"/>
    </row>
    <row r="252" spans="1:17" ht="24.9" customHeight="1" x14ac:dyDescent="0.25">
      <c r="A252" s="12">
        <v>98</v>
      </c>
      <c r="B252" s="1"/>
      <c r="C252" s="15" t="s">
        <v>5</v>
      </c>
      <c r="D252" s="39" t="s">
        <v>98</v>
      </c>
      <c r="E252" s="19">
        <f t="shared" si="6"/>
        <v>113.00000000000001</v>
      </c>
      <c r="F252" s="19">
        <f>101.3-2.3+4.7-2+1.9+1.4</f>
        <v>105.00000000000001</v>
      </c>
      <c r="G252" s="19">
        <f>70+4.7-0.2+2.4</f>
        <v>76.900000000000006</v>
      </c>
      <c r="H252" s="19">
        <f>2.3+2+3.7</f>
        <v>8</v>
      </c>
      <c r="I252" s="4"/>
      <c r="J252" s="4"/>
      <c r="K252" s="4"/>
      <c r="L252" s="4"/>
      <c r="N252" s="44"/>
      <c r="O252" s="44"/>
      <c r="P252" s="44"/>
      <c r="Q252" s="44"/>
    </row>
    <row r="253" spans="1:17" ht="24.9" customHeight="1" x14ac:dyDescent="0.25">
      <c r="A253" s="12">
        <v>99</v>
      </c>
      <c r="B253" s="1"/>
      <c r="C253" s="15" t="s">
        <v>7</v>
      </c>
      <c r="D253" s="39" t="s">
        <v>97</v>
      </c>
      <c r="E253" s="19">
        <f>+F253+H253</f>
        <v>87</v>
      </c>
      <c r="F253" s="19">
        <f>76.6+0.1+2+2.9+5.4</f>
        <v>87</v>
      </c>
      <c r="G253" s="19">
        <f>47.6-5.6</f>
        <v>42</v>
      </c>
      <c r="H253" s="19"/>
      <c r="I253" s="4"/>
      <c r="J253" s="4"/>
      <c r="K253" s="4"/>
      <c r="L253" s="4"/>
      <c r="N253" s="44"/>
      <c r="O253" s="44"/>
      <c r="P253" s="44"/>
      <c r="Q253" s="44"/>
    </row>
    <row r="254" spans="1:17" ht="24.9" customHeight="1" x14ac:dyDescent="0.25">
      <c r="A254" s="12">
        <v>100</v>
      </c>
      <c r="B254" s="1"/>
      <c r="C254" s="104" t="s">
        <v>6</v>
      </c>
      <c r="D254" s="39" t="s">
        <v>97</v>
      </c>
      <c r="E254" s="19">
        <f t="shared" si="6"/>
        <v>85</v>
      </c>
      <c r="F254" s="19">
        <f>81.3+1.5+0.1-2.1+4.2</f>
        <v>85</v>
      </c>
      <c r="G254" s="19">
        <f>49+0.2-2.1</f>
        <v>47.1</v>
      </c>
      <c r="H254" s="19"/>
      <c r="I254" s="4"/>
      <c r="J254" s="4"/>
      <c r="K254" s="4"/>
      <c r="L254" s="4"/>
      <c r="N254" s="44"/>
      <c r="O254" s="44"/>
      <c r="P254" s="44"/>
      <c r="Q254" s="44"/>
    </row>
    <row r="255" spans="1:17" ht="24.9" customHeight="1" x14ac:dyDescent="0.25">
      <c r="A255" s="12">
        <v>101</v>
      </c>
      <c r="B255" s="1"/>
      <c r="C255" s="15" t="s">
        <v>9</v>
      </c>
      <c r="D255" s="39" t="s">
        <v>100</v>
      </c>
      <c r="E255" s="19">
        <f t="shared" si="6"/>
        <v>66.8</v>
      </c>
      <c r="F255" s="19">
        <f>63.2+2.1-3.8+5.3</f>
        <v>66.8</v>
      </c>
      <c r="G255" s="19">
        <f>43.4+2-6</f>
        <v>39.4</v>
      </c>
      <c r="H255" s="19"/>
      <c r="I255" s="4"/>
      <c r="J255" s="4"/>
      <c r="K255" s="4"/>
      <c r="L255" s="4"/>
      <c r="N255" s="44"/>
      <c r="O255" s="44"/>
      <c r="P255" s="44"/>
      <c r="Q255" s="44"/>
    </row>
    <row r="256" spans="1:17" ht="24.9" customHeight="1" x14ac:dyDescent="0.25">
      <c r="A256" s="12">
        <v>102</v>
      </c>
      <c r="B256" s="1"/>
      <c r="C256" s="16" t="s">
        <v>10</v>
      </c>
      <c r="D256" s="39" t="s">
        <v>97</v>
      </c>
      <c r="E256" s="19">
        <f t="shared" si="6"/>
        <v>64.5</v>
      </c>
      <c r="F256" s="19">
        <f>68.1+3.4-7.5+0.5</f>
        <v>64.5</v>
      </c>
      <c r="G256" s="19">
        <f>52.8+3.3-9.5</f>
        <v>46.599999999999994</v>
      </c>
      <c r="H256" s="19"/>
      <c r="I256" s="4"/>
      <c r="J256" s="4"/>
      <c r="K256" s="4"/>
      <c r="L256" s="4"/>
      <c r="N256" s="44"/>
      <c r="O256" s="44"/>
      <c r="P256" s="44"/>
      <c r="Q256" s="44"/>
    </row>
    <row r="257" spans="1:17" ht="24.9" customHeight="1" x14ac:dyDescent="0.25">
      <c r="A257" s="12">
        <v>103</v>
      </c>
      <c r="B257" s="1"/>
      <c r="C257" s="15" t="s">
        <v>12</v>
      </c>
      <c r="D257" s="39" t="s">
        <v>97</v>
      </c>
      <c r="E257" s="19">
        <f>+F257+H257</f>
        <v>46.599999999999994</v>
      </c>
      <c r="F257" s="19">
        <f>41.3+0.9+1.4+1.2</f>
        <v>44.8</v>
      </c>
      <c r="G257" s="19">
        <f>25.5+0.9+1.3+0.3</f>
        <v>28</v>
      </c>
      <c r="H257" s="19">
        <v>1.8</v>
      </c>
      <c r="I257" s="4"/>
      <c r="J257" s="4"/>
      <c r="K257" s="4"/>
      <c r="L257" s="4"/>
      <c r="N257" s="44"/>
      <c r="O257" s="44"/>
      <c r="P257" s="44"/>
      <c r="Q257" s="44"/>
    </row>
    <row r="258" spans="1:17" ht="29.25" customHeight="1" x14ac:dyDescent="0.25">
      <c r="A258" s="12">
        <v>104</v>
      </c>
      <c r="B258" s="1"/>
      <c r="C258" s="104" t="s">
        <v>125</v>
      </c>
      <c r="D258" s="39" t="s">
        <v>97</v>
      </c>
      <c r="E258" s="19">
        <f t="shared" si="6"/>
        <v>57.500000000000007</v>
      </c>
      <c r="F258" s="19">
        <f>51.2+3.2+3.1</f>
        <v>57.500000000000007</v>
      </c>
      <c r="G258" s="19">
        <f>40.9+3+0.4</f>
        <v>44.3</v>
      </c>
      <c r="H258" s="19"/>
      <c r="I258" s="4"/>
      <c r="J258" s="4"/>
      <c r="K258" s="4"/>
      <c r="L258" s="4"/>
      <c r="N258" s="44"/>
      <c r="O258" s="44"/>
      <c r="P258" s="44"/>
      <c r="Q258" s="44"/>
    </row>
    <row r="259" spans="1:17" ht="27" customHeight="1" x14ac:dyDescent="0.25">
      <c r="A259" s="12">
        <v>105</v>
      </c>
      <c r="B259" s="1"/>
      <c r="C259" s="15" t="s">
        <v>13</v>
      </c>
      <c r="D259" s="39" t="s">
        <v>97</v>
      </c>
      <c r="E259" s="19">
        <f t="shared" si="6"/>
        <v>80.5</v>
      </c>
      <c r="F259" s="19">
        <f>63.7+3.9+2.1+0.7+1.1</f>
        <v>71.5</v>
      </c>
      <c r="G259" s="19">
        <f>39.9+3.9+1.9+0.7</f>
        <v>46.4</v>
      </c>
      <c r="H259" s="19">
        <f>3.8+5.2</f>
        <v>9</v>
      </c>
      <c r="I259" s="4"/>
      <c r="J259" s="4"/>
      <c r="K259" s="4"/>
      <c r="L259" s="4"/>
      <c r="N259" s="44"/>
      <c r="O259" s="44"/>
      <c r="P259" s="44"/>
      <c r="Q259" s="44"/>
    </row>
    <row r="260" spans="1:17" ht="24.9" customHeight="1" x14ac:dyDescent="0.25">
      <c r="A260" s="12">
        <v>106</v>
      </c>
      <c r="B260" s="1"/>
      <c r="C260" s="15" t="s">
        <v>14</v>
      </c>
      <c r="D260" s="39" t="s">
        <v>97</v>
      </c>
      <c r="E260" s="19">
        <f t="shared" si="6"/>
        <v>157.79999999999995</v>
      </c>
      <c r="F260" s="19">
        <f>148.7+6.7-2.8</f>
        <v>152.59999999999997</v>
      </c>
      <c r="G260" s="19">
        <f>93.4+6.5-2.8</f>
        <v>97.100000000000009</v>
      </c>
      <c r="H260" s="19">
        <v>5.2</v>
      </c>
      <c r="I260" s="4"/>
      <c r="J260" s="4"/>
      <c r="K260" s="4"/>
      <c r="L260" s="4"/>
      <c r="N260" s="44"/>
      <c r="O260" s="44"/>
      <c r="P260" s="44"/>
      <c r="Q260" s="44"/>
    </row>
    <row r="261" spans="1:17" x14ac:dyDescent="0.25">
      <c r="A261" s="12">
        <v>107</v>
      </c>
      <c r="B261" s="11" t="s">
        <v>36</v>
      </c>
      <c r="C261" s="17" t="s">
        <v>37</v>
      </c>
      <c r="D261" s="39"/>
      <c r="E261" s="108">
        <f t="shared" si="6"/>
        <v>43.8</v>
      </c>
      <c r="F261" s="108">
        <f t="shared" ref="F261:H262" si="7">+F262</f>
        <v>43.8</v>
      </c>
      <c r="G261" s="93">
        <f t="shared" si="7"/>
        <v>0</v>
      </c>
      <c r="H261" s="93">
        <f t="shared" si="7"/>
        <v>0</v>
      </c>
      <c r="I261" s="4"/>
      <c r="J261" s="4"/>
      <c r="K261" s="4"/>
      <c r="L261" s="4"/>
      <c r="N261" s="44"/>
      <c r="O261" s="44"/>
      <c r="P261" s="44"/>
      <c r="Q261" s="44"/>
    </row>
    <row r="262" spans="1:17" ht="16.5" customHeight="1" x14ac:dyDescent="0.25">
      <c r="A262" s="12">
        <v>108</v>
      </c>
      <c r="B262" s="11"/>
      <c r="C262" s="16" t="s">
        <v>239</v>
      </c>
      <c r="D262" s="39"/>
      <c r="E262" s="19">
        <f t="shared" si="6"/>
        <v>43.8</v>
      </c>
      <c r="F262" s="19">
        <f t="shared" si="7"/>
        <v>43.8</v>
      </c>
      <c r="G262" s="19">
        <f t="shared" si="7"/>
        <v>0</v>
      </c>
      <c r="H262" s="19">
        <f t="shared" si="7"/>
        <v>0</v>
      </c>
      <c r="I262" s="4"/>
      <c r="J262" s="4"/>
      <c r="K262" s="4"/>
      <c r="L262" s="4"/>
      <c r="N262" s="44"/>
      <c r="O262" s="44"/>
      <c r="P262" s="44"/>
      <c r="Q262" s="44"/>
    </row>
    <row r="263" spans="1:17" ht="41.4" x14ac:dyDescent="0.25">
      <c r="A263" s="37" t="s">
        <v>568</v>
      </c>
      <c r="B263" s="1"/>
      <c r="C263" s="102" t="s">
        <v>392</v>
      </c>
      <c r="D263" s="125"/>
      <c r="E263" s="108">
        <f t="shared" si="6"/>
        <v>43.8</v>
      </c>
      <c r="F263" s="108">
        <f>+F264+F265</f>
        <v>43.8</v>
      </c>
      <c r="G263" s="108">
        <f>+G264+G265</f>
        <v>0</v>
      </c>
      <c r="H263" s="108">
        <f>+H264+H265</f>
        <v>0</v>
      </c>
      <c r="I263" s="4"/>
      <c r="J263" s="4"/>
      <c r="K263" s="4"/>
      <c r="L263" s="4"/>
      <c r="N263" s="44"/>
      <c r="O263" s="44"/>
      <c r="P263" s="44"/>
      <c r="Q263" s="44"/>
    </row>
    <row r="264" spans="1:17" ht="26.4" x14ac:dyDescent="0.25">
      <c r="A264" s="116" t="s">
        <v>569</v>
      </c>
      <c r="B264" s="1"/>
      <c r="C264" s="15" t="s">
        <v>265</v>
      </c>
      <c r="D264" s="39" t="s">
        <v>162</v>
      </c>
      <c r="E264" s="19">
        <f t="shared" si="6"/>
        <v>40</v>
      </c>
      <c r="F264" s="19">
        <v>40</v>
      </c>
      <c r="G264" s="19"/>
      <c r="H264" s="19"/>
      <c r="I264" s="4"/>
      <c r="J264" s="4"/>
      <c r="K264" s="4"/>
      <c r="L264" s="4"/>
      <c r="N264" s="44"/>
      <c r="O264" s="44"/>
      <c r="P264" s="44"/>
      <c r="Q264" s="44"/>
    </row>
    <row r="265" spans="1:17" ht="39.6" x14ac:dyDescent="0.25">
      <c r="A265" s="116" t="s">
        <v>746</v>
      </c>
      <c r="B265" s="1"/>
      <c r="C265" s="15" t="s">
        <v>747</v>
      </c>
      <c r="D265" s="39" t="s">
        <v>316</v>
      </c>
      <c r="E265" s="19">
        <f t="shared" si="6"/>
        <v>3.8</v>
      </c>
      <c r="F265" s="19">
        <v>3.8</v>
      </c>
      <c r="G265" s="19"/>
      <c r="H265" s="19"/>
      <c r="I265" s="4"/>
      <c r="J265" s="4"/>
      <c r="K265" s="4"/>
      <c r="L265" s="4"/>
      <c r="N265" s="44"/>
      <c r="O265" s="44"/>
      <c r="P265" s="44"/>
      <c r="Q265" s="44"/>
    </row>
    <row r="266" spans="1:17" x14ac:dyDescent="0.25">
      <c r="A266" s="12">
        <v>109</v>
      </c>
      <c r="B266" s="11" t="s">
        <v>101</v>
      </c>
      <c r="C266" s="17" t="s">
        <v>102</v>
      </c>
      <c r="D266" s="9"/>
      <c r="E266" s="93">
        <f t="shared" si="6"/>
        <v>30</v>
      </c>
      <c r="F266" s="93">
        <f>+F267</f>
        <v>30</v>
      </c>
      <c r="G266" s="93">
        <f>+G267</f>
        <v>0</v>
      </c>
      <c r="H266" s="93">
        <f>+H267</f>
        <v>0</v>
      </c>
      <c r="I266" s="4"/>
      <c r="J266" s="4"/>
      <c r="K266" s="4"/>
      <c r="L266" s="4"/>
      <c r="N266" s="44"/>
      <c r="O266" s="44"/>
      <c r="P266" s="44"/>
      <c r="Q266" s="44"/>
    </row>
    <row r="267" spans="1:17" ht="20.100000000000001" customHeight="1" x14ac:dyDescent="0.25">
      <c r="A267" s="12">
        <v>110</v>
      </c>
      <c r="B267" s="11"/>
      <c r="C267" s="16" t="s">
        <v>211</v>
      </c>
      <c r="D267" s="9"/>
      <c r="E267" s="19">
        <f t="shared" si="6"/>
        <v>30</v>
      </c>
      <c r="F267" s="19">
        <f>+F268+F269</f>
        <v>30</v>
      </c>
      <c r="G267" s="19">
        <f>SUM(G268:G268)</f>
        <v>0</v>
      </c>
      <c r="H267" s="19">
        <f>SUM(H268:H268)</f>
        <v>0</v>
      </c>
      <c r="I267" s="4"/>
      <c r="J267" s="4"/>
      <c r="K267" s="4"/>
      <c r="L267" s="4"/>
      <c r="N267" s="44"/>
      <c r="O267" s="44"/>
      <c r="P267" s="44"/>
      <c r="Q267" s="44"/>
    </row>
    <row r="268" spans="1:17" ht="26.4" x14ac:dyDescent="0.25">
      <c r="A268" s="116" t="s">
        <v>570</v>
      </c>
      <c r="B268" s="1"/>
      <c r="C268" s="104" t="s">
        <v>266</v>
      </c>
      <c r="D268" s="14" t="s">
        <v>103</v>
      </c>
      <c r="E268" s="19">
        <f t="shared" si="6"/>
        <v>29</v>
      </c>
      <c r="F268" s="19">
        <v>29</v>
      </c>
      <c r="G268" s="19"/>
      <c r="H268" s="19"/>
      <c r="I268" s="4"/>
      <c r="J268" s="4"/>
      <c r="K268" s="4"/>
      <c r="L268" s="4"/>
      <c r="N268" s="44"/>
      <c r="O268" s="44"/>
      <c r="P268" s="44"/>
      <c r="Q268" s="44"/>
    </row>
    <row r="269" spans="1:17" ht="24.9" customHeight="1" x14ac:dyDescent="0.25">
      <c r="A269" s="116" t="s">
        <v>571</v>
      </c>
      <c r="B269" s="1"/>
      <c r="C269" s="104" t="s">
        <v>105</v>
      </c>
      <c r="D269" s="14" t="s">
        <v>144</v>
      </c>
      <c r="E269" s="19">
        <f t="shared" si="6"/>
        <v>1</v>
      </c>
      <c r="F269" s="19">
        <v>1</v>
      </c>
      <c r="G269" s="19"/>
      <c r="H269" s="19"/>
      <c r="I269" s="4"/>
      <c r="J269" s="4"/>
      <c r="K269" s="4"/>
      <c r="L269" s="4"/>
      <c r="N269" s="44"/>
      <c r="O269" s="44"/>
      <c r="P269" s="44"/>
      <c r="Q269" s="44"/>
    </row>
    <row r="270" spans="1:17" x14ac:dyDescent="0.25">
      <c r="A270" s="12">
        <v>111</v>
      </c>
      <c r="B270" s="11" t="s">
        <v>26</v>
      </c>
      <c r="C270" s="17" t="s">
        <v>27</v>
      </c>
      <c r="D270" s="9"/>
      <c r="E270" s="93">
        <f t="shared" si="6"/>
        <v>7101.2</v>
      </c>
      <c r="F270" s="93">
        <f>+F271+F272+F273+F286+F288+F290+F292+F294+F295+F297+F299+F301+F303+F305</f>
        <v>6981.2</v>
      </c>
      <c r="G270" s="93">
        <f>+G271+G272+G273+G286+G288+G290+G292+G294+G295+G297+G299+G301+G303+G305</f>
        <v>3481.2</v>
      </c>
      <c r="H270" s="93">
        <f>+H271+H272+H273+H286+H288+H290+H292+H294+H295+H297+H299+H301+H303+H305</f>
        <v>119.99999999999999</v>
      </c>
      <c r="I270" s="4"/>
      <c r="J270" s="4"/>
      <c r="K270" s="4"/>
      <c r="L270" s="4"/>
      <c r="N270" s="44"/>
      <c r="O270" s="44"/>
      <c r="P270" s="44"/>
      <c r="Q270" s="44"/>
    </row>
    <row r="271" spans="1:17" ht="20.100000000000001" customHeight="1" x14ac:dyDescent="0.25">
      <c r="A271" s="12">
        <v>112</v>
      </c>
      <c r="B271" s="11"/>
      <c r="C271" s="15" t="s">
        <v>28</v>
      </c>
      <c r="D271" s="14" t="s">
        <v>29</v>
      </c>
      <c r="E271" s="19">
        <f t="shared" si="6"/>
        <v>16.3</v>
      </c>
      <c r="F271" s="19">
        <v>16.3</v>
      </c>
      <c r="G271" s="19">
        <v>10.5</v>
      </c>
      <c r="H271" s="19"/>
      <c r="I271" s="4"/>
      <c r="J271" s="4"/>
      <c r="K271" s="4"/>
      <c r="L271" s="4"/>
      <c r="N271" s="44"/>
      <c r="O271" s="44"/>
      <c r="P271" s="44"/>
      <c r="Q271" s="44"/>
    </row>
    <row r="272" spans="1:17" ht="15" customHeight="1" x14ac:dyDescent="0.25">
      <c r="A272" s="12">
        <v>113</v>
      </c>
      <c r="B272" s="11"/>
      <c r="C272" s="16" t="s">
        <v>104</v>
      </c>
      <c r="D272" s="14" t="s">
        <v>117</v>
      </c>
      <c r="E272" s="19">
        <f t="shared" si="6"/>
        <v>126.5</v>
      </c>
      <c r="F272" s="19">
        <f>112.7+0.2+7.1+4.9</f>
        <v>124.9</v>
      </c>
      <c r="G272" s="19">
        <f>104.6+6.8+2+4.9</f>
        <v>118.3</v>
      </c>
      <c r="H272" s="19">
        <v>1.6</v>
      </c>
      <c r="I272" s="4"/>
      <c r="J272" s="4"/>
      <c r="K272" s="4"/>
      <c r="L272" s="4"/>
      <c r="N272" s="44"/>
      <c r="O272" s="44"/>
      <c r="P272" s="44"/>
      <c r="Q272" s="44"/>
    </row>
    <row r="273" spans="1:17" ht="15" customHeight="1" x14ac:dyDescent="0.25">
      <c r="A273" s="12">
        <v>114</v>
      </c>
      <c r="B273" s="11"/>
      <c r="C273" s="16" t="s">
        <v>211</v>
      </c>
      <c r="D273" s="14"/>
      <c r="E273" s="19">
        <f>+F273+H273</f>
        <v>5940.3</v>
      </c>
      <c r="F273" s="19">
        <f>+F274+F275+F276+F277+F278+F279+F280+F281+F282+F284+F283</f>
        <v>5863.7</v>
      </c>
      <c r="G273" s="19">
        <f>+G274+G275+G276+G277+G278+G279+G280+G281+G282+G284+G283</f>
        <v>2646.1</v>
      </c>
      <c r="H273" s="19">
        <f>+H274+H275+H276+H277+H278+H279+H280+H281+H282+H284+H283</f>
        <v>76.599999999999994</v>
      </c>
      <c r="I273" s="4"/>
      <c r="J273" s="4"/>
      <c r="K273" s="4"/>
      <c r="L273" s="4"/>
      <c r="N273" s="44"/>
      <c r="O273" s="44"/>
      <c r="P273" s="44"/>
      <c r="Q273" s="44"/>
    </row>
    <row r="274" spans="1:17" ht="92.4" x14ac:dyDescent="0.25">
      <c r="A274" s="116" t="s">
        <v>493</v>
      </c>
      <c r="B274" s="11"/>
      <c r="C274" s="16" t="s">
        <v>105</v>
      </c>
      <c r="D274" s="14" t="s">
        <v>141</v>
      </c>
      <c r="E274" s="19">
        <f>+F274+H274</f>
        <v>3870.6</v>
      </c>
      <c r="F274" s="19">
        <f>3575.4-90+5.4+6.5+143+31+122.7</f>
        <v>3794</v>
      </c>
      <c r="G274" s="19">
        <f>2360.8+25.5+139.6+120.2</f>
        <v>2646.1</v>
      </c>
      <c r="H274" s="19">
        <v>76.599999999999994</v>
      </c>
      <c r="I274" s="4"/>
      <c r="J274" s="4"/>
      <c r="K274" s="4"/>
      <c r="L274" s="4"/>
      <c r="N274" s="44"/>
      <c r="O274" s="44"/>
      <c r="P274" s="44"/>
      <c r="Q274" s="44"/>
    </row>
    <row r="275" spans="1:17" ht="26.4" x14ac:dyDescent="0.25">
      <c r="A275" s="116" t="s">
        <v>494</v>
      </c>
      <c r="B275" s="1"/>
      <c r="C275" s="104" t="s">
        <v>169</v>
      </c>
      <c r="D275" s="14" t="s">
        <v>130</v>
      </c>
      <c r="E275" s="19">
        <f t="shared" ref="E275:E306" si="8">+F275+H275</f>
        <v>80.7</v>
      </c>
      <c r="F275" s="19">
        <f>180-10-89.3</f>
        <v>80.7</v>
      </c>
      <c r="G275" s="19"/>
      <c r="H275" s="19"/>
      <c r="I275" s="4"/>
      <c r="J275" s="4"/>
      <c r="K275" s="4"/>
      <c r="L275" s="4"/>
      <c r="N275" s="44"/>
      <c r="O275" s="44"/>
      <c r="P275" s="44"/>
      <c r="Q275" s="44"/>
    </row>
    <row r="276" spans="1:17" ht="24.75" customHeight="1" x14ac:dyDescent="0.25">
      <c r="A276" s="116" t="s">
        <v>495</v>
      </c>
      <c r="B276" s="1"/>
      <c r="C276" s="104" t="s">
        <v>170</v>
      </c>
      <c r="D276" s="14" t="s">
        <v>42</v>
      </c>
      <c r="E276" s="19">
        <f t="shared" si="8"/>
        <v>22.4</v>
      </c>
      <c r="F276" s="19">
        <v>22.4</v>
      </c>
      <c r="G276" s="19"/>
      <c r="H276" s="19"/>
      <c r="I276" s="4"/>
      <c r="J276" s="4"/>
      <c r="K276" s="4"/>
      <c r="L276" s="4"/>
      <c r="N276" s="44"/>
      <c r="O276" s="44"/>
      <c r="P276" s="44"/>
      <c r="Q276" s="44"/>
    </row>
    <row r="277" spans="1:17" x14ac:dyDescent="0.25">
      <c r="A277" s="116" t="s">
        <v>572</v>
      </c>
      <c r="B277" s="1"/>
      <c r="C277" s="104" t="s">
        <v>203</v>
      </c>
      <c r="D277" s="14" t="s">
        <v>107</v>
      </c>
      <c r="E277" s="19">
        <f>+F277+H277</f>
        <v>614.70000000000005</v>
      </c>
      <c r="F277" s="19">
        <f>260+140+50+105.7+59</f>
        <v>614.70000000000005</v>
      </c>
      <c r="G277" s="19"/>
      <c r="H277" s="19"/>
      <c r="I277" s="4"/>
      <c r="J277" s="4"/>
      <c r="K277" s="4"/>
      <c r="L277" s="4"/>
      <c r="N277" s="44"/>
      <c r="O277" s="44"/>
      <c r="P277" s="44"/>
      <c r="Q277" s="44"/>
    </row>
    <row r="278" spans="1:17" ht="15" customHeight="1" x14ac:dyDescent="0.25">
      <c r="A278" s="116" t="s">
        <v>573</v>
      </c>
      <c r="B278" s="1"/>
      <c r="C278" s="104" t="s">
        <v>276</v>
      </c>
      <c r="D278" s="14" t="s">
        <v>42</v>
      </c>
      <c r="E278" s="19">
        <f t="shared" si="8"/>
        <v>14.9</v>
      </c>
      <c r="F278" s="19">
        <v>14.9</v>
      </c>
      <c r="G278" s="19"/>
      <c r="H278" s="19"/>
      <c r="I278" s="4"/>
      <c r="J278" s="4"/>
      <c r="K278" s="4"/>
      <c r="L278" s="4"/>
      <c r="N278" s="44"/>
      <c r="O278" s="44"/>
      <c r="P278" s="44"/>
      <c r="Q278" s="44"/>
    </row>
    <row r="279" spans="1:17" ht="26.4" x14ac:dyDescent="0.25">
      <c r="A279" s="116" t="s">
        <v>574</v>
      </c>
      <c r="B279" s="1"/>
      <c r="C279" s="104" t="s">
        <v>227</v>
      </c>
      <c r="D279" s="14" t="s">
        <v>106</v>
      </c>
      <c r="E279" s="19">
        <f>+F279+H279</f>
        <v>12</v>
      </c>
      <c r="F279" s="19">
        <v>12</v>
      </c>
      <c r="G279" s="19"/>
      <c r="H279" s="19"/>
      <c r="I279" s="4"/>
      <c r="J279" s="4"/>
      <c r="K279" s="4"/>
      <c r="L279" s="4"/>
      <c r="N279" s="44"/>
      <c r="O279" s="44"/>
      <c r="P279" s="44"/>
      <c r="Q279" s="44"/>
    </row>
    <row r="280" spans="1:17" ht="12.6" customHeight="1" x14ac:dyDescent="0.25">
      <c r="A280" s="116" t="s">
        <v>575</v>
      </c>
      <c r="B280" s="1"/>
      <c r="C280" s="104" t="s">
        <v>267</v>
      </c>
      <c r="D280" s="14" t="s">
        <v>108</v>
      </c>
      <c r="E280" s="19">
        <f t="shared" si="8"/>
        <v>70</v>
      </c>
      <c r="F280" s="19">
        <v>70</v>
      </c>
      <c r="G280" s="19"/>
      <c r="H280" s="19"/>
      <c r="I280" s="4"/>
      <c r="J280" s="4"/>
      <c r="K280" s="4"/>
      <c r="L280" s="4"/>
      <c r="N280" s="44"/>
      <c r="O280" s="44"/>
      <c r="P280" s="44"/>
      <c r="Q280" s="44"/>
    </row>
    <row r="281" spans="1:17" ht="12.6" customHeight="1" x14ac:dyDescent="0.25">
      <c r="A281" s="116" t="s">
        <v>576</v>
      </c>
      <c r="B281" s="1"/>
      <c r="C281" s="104" t="s">
        <v>581</v>
      </c>
      <c r="D281" s="14" t="s">
        <v>605</v>
      </c>
      <c r="E281" s="19">
        <f t="shared" si="8"/>
        <v>48.1</v>
      </c>
      <c r="F281" s="19">
        <v>48.1</v>
      </c>
      <c r="G281" s="19"/>
      <c r="H281" s="19"/>
      <c r="I281" s="4"/>
      <c r="J281" s="4"/>
      <c r="K281" s="4"/>
      <c r="L281" s="4"/>
      <c r="N281" s="44"/>
      <c r="O281" s="44"/>
      <c r="P281" s="44"/>
      <c r="Q281" s="44"/>
    </row>
    <row r="282" spans="1:17" x14ac:dyDescent="0.25">
      <c r="A282" s="116" t="s">
        <v>577</v>
      </c>
      <c r="B282" s="1"/>
      <c r="C282" s="104" t="s">
        <v>755</v>
      </c>
      <c r="D282" s="14" t="s">
        <v>280</v>
      </c>
      <c r="E282" s="19">
        <f t="shared" si="8"/>
        <v>1000</v>
      </c>
      <c r="F282" s="19">
        <f>733.3+266.7</f>
        <v>1000</v>
      </c>
      <c r="G282" s="19"/>
      <c r="H282" s="19"/>
      <c r="I282" s="4"/>
      <c r="J282" s="4"/>
      <c r="K282" s="4"/>
      <c r="L282" s="4"/>
      <c r="N282" s="44"/>
      <c r="O282" s="44"/>
      <c r="P282" s="44"/>
      <c r="Q282" s="44"/>
    </row>
    <row r="283" spans="1:17" x14ac:dyDescent="0.25">
      <c r="A283" s="116" t="s">
        <v>604</v>
      </c>
      <c r="B283" s="1"/>
      <c r="C283" s="104" t="s">
        <v>756</v>
      </c>
      <c r="D283" s="14" t="s">
        <v>280</v>
      </c>
      <c r="E283" s="19">
        <f t="shared" si="8"/>
        <v>205.4</v>
      </c>
      <c r="F283" s="19">
        <f>204.5+0.9</f>
        <v>205.4</v>
      </c>
      <c r="G283" s="19"/>
      <c r="H283" s="19"/>
      <c r="I283" s="4"/>
      <c r="J283" s="4"/>
      <c r="K283" s="4"/>
      <c r="L283" s="4"/>
      <c r="N283" s="44"/>
      <c r="O283" s="44"/>
      <c r="P283" s="44"/>
      <c r="Q283" s="44"/>
    </row>
    <row r="284" spans="1:17" ht="41.4" x14ac:dyDescent="0.25">
      <c r="A284" s="116" t="s">
        <v>757</v>
      </c>
      <c r="B284" s="1"/>
      <c r="C284" s="102" t="s">
        <v>392</v>
      </c>
      <c r="D284" s="125"/>
      <c r="E284" s="108">
        <f t="shared" si="8"/>
        <v>1.5</v>
      </c>
      <c r="F284" s="108">
        <f>+F285</f>
        <v>1.5</v>
      </c>
      <c r="G284" s="19"/>
      <c r="H284" s="19"/>
      <c r="I284" s="4"/>
      <c r="J284" s="4"/>
      <c r="K284" s="4"/>
      <c r="L284" s="4"/>
      <c r="N284" s="44"/>
      <c r="O284" s="44"/>
      <c r="P284" s="44"/>
      <c r="Q284" s="44"/>
    </row>
    <row r="285" spans="1:17" ht="26.4" x14ac:dyDescent="0.25">
      <c r="A285" s="116" t="s">
        <v>758</v>
      </c>
      <c r="B285" s="1"/>
      <c r="C285" s="104" t="s">
        <v>238</v>
      </c>
      <c r="D285" s="14" t="s">
        <v>42</v>
      </c>
      <c r="E285" s="19">
        <f t="shared" si="8"/>
        <v>1.5</v>
      </c>
      <c r="F285" s="19">
        <f>14.7-13.2</f>
        <v>1.5</v>
      </c>
      <c r="G285" s="19"/>
      <c r="H285" s="19"/>
      <c r="I285" s="4"/>
      <c r="J285" s="4"/>
      <c r="K285" s="4"/>
      <c r="L285" s="4"/>
      <c r="N285" s="44"/>
      <c r="O285" s="44"/>
      <c r="P285" s="44"/>
      <c r="Q285" s="44"/>
    </row>
    <row r="286" spans="1:17" ht="25.5" customHeight="1" x14ac:dyDescent="0.25">
      <c r="A286" s="191">
        <v>115</v>
      </c>
      <c r="B286" s="193"/>
      <c r="C286" s="15" t="s">
        <v>8</v>
      </c>
      <c r="D286" s="14" t="s">
        <v>585</v>
      </c>
      <c r="E286" s="19">
        <f t="shared" si="8"/>
        <v>150.99999999999997</v>
      </c>
      <c r="F286" s="19">
        <f>125.2+F287+2.1+10.6+10.2</f>
        <v>150.99999999999997</v>
      </c>
      <c r="G286" s="19">
        <f>99+G287+10.4+7</f>
        <v>119.2</v>
      </c>
      <c r="H286" s="19"/>
      <c r="I286" s="4"/>
      <c r="J286" s="4"/>
      <c r="K286" s="4"/>
      <c r="L286" s="4"/>
      <c r="N286" s="44"/>
      <c r="O286" s="44"/>
      <c r="P286" s="44"/>
      <c r="Q286" s="44"/>
    </row>
    <row r="287" spans="1:17" x14ac:dyDescent="0.25">
      <c r="A287" s="192"/>
      <c r="B287" s="194"/>
      <c r="C287" s="15" t="s">
        <v>584</v>
      </c>
      <c r="D287" s="14" t="s">
        <v>43</v>
      </c>
      <c r="E287" s="19">
        <f t="shared" si="8"/>
        <v>2.9</v>
      </c>
      <c r="F287" s="19">
        <v>2.9</v>
      </c>
      <c r="G287" s="19">
        <v>2.8</v>
      </c>
      <c r="H287" s="19"/>
      <c r="I287" s="4"/>
      <c r="J287" s="4"/>
      <c r="K287" s="4"/>
      <c r="L287" s="4"/>
      <c r="N287" s="44"/>
      <c r="O287" s="44"/>
      <c r="P287" s="44"/>
      <c r="Q287" s="44"/>
    </row>
    <row r="288" spans="1:17" ht="26.4" x14ac:dyDescent="0.25">
      <c r="A288" s="191">
        <v>116</v>
      </c>
      <c r="B288" s="193"/>
      <c r="C288" s="15" t="s">
        <v>4</v>
      </c>
      <c r="D288" s="14" t="s">
        <v>585</v>
      </c>
      <c r="E288" s="19">
        <f t="shared" si="8"/>
        <v>58.999999999999993</v>
      </c>
      <c r="F288" s="19">
        <f>51.5+F289+0.3+3.3</f>
        <v>57.999999999999993</v>
      </c>
      <c r="G288" s="19">
        <f>44.8+G289+3.3-6.4</f>
        <v>44.499999999999993</v>
      </c>
      <c r="H288" s="19">
        <v>1</v>
      </c>
      <c r="I288" s="4"/>
      <c r="J288" s="4"/>
      <c r="K288" s="4"/>
      <c r="L288" s="4"/>
      <c r="N288" s="44"/>
      <c r="O288" s="44"/>
      <c r="P288" s="44"/>
      <c r="Q288" s="44"/>
    </row>
    <row r="289" spans="1:17" x14ac:dyDescent="0.25">
      <c r="A289" s="192"/>
      <c r="B289" s="194"/>
      <c r="C289" s="15" t="s">
        <v>584</v>
      </c>
      <c r="D289" s="14" t="s">
        <v>43</v>
      </c>
      <c r="E289" s="19">
        <f t="shared" si="8"/>
        <v>2.9</v>
      </c>
      <c r="F289" s="19">
        <v>2.9</v>
      </c>
      <c r="G289" s="19">
        <v>2.8</v>
      </c>
      <c r="H289" s="19"/>
      <c r="I289" s="4"/>
      <c r="J289" s="4"/>
      <c r="K289" s="4"/>
      <c r="L289" s="4"/>
      <c r="N289" s="44"/>
      <c r="O289" s="44"/>
      <c r="P289" s="44"/>
      <c r="Q289" s="44"/>
    </row>
    <row r="290" spans="1:17" ht="26.4" x14ac:dyDescent="0.25">
      <c r="A290" s="191">
        <v>117</v>
      </c>
      <c r="B290" s="193"/>
      <c r="C290" s="15" t="s">
        <v>5</v>
      </c>
      <c r="D290" s="14" t="s">
        <v>585</v>
      </c>
      <c r="E290" s="19">
        <f t="shared" si="8"/>
        <v>80.500000000000014</v>
      </c>
      <c r="F290" s="19">
        <f>69.5+F291+3.3+1.7+1.4+1.7</f>
        <v>80.500000000000014</v>
      </c>
      <c r="G290" s="19">
        <f>47.6+G291+1.7+1.4+1.7</f>
        <v>55.2</v>
      </c>
      <c r="H290" s="19"/>
      <c r="I290" s="4"/>
      <c r="J290" s="4"/>
      <c r="K290" s="4"/>
      <c r="L290" s="4"/>
      <c r="N290" s="44"/>
      <c r="O290" s="44"/>
      <c r="P290" s="44"/>
      <c r="Q290" s="44"/>
    </row>
    <row r="291" spans="1:17" x14ac:dyDescent="0.25">
      <c r="A291" s="192"/>
      <c r="B291" s="194"/>
      <c r="C291" s="15" t="s">
        <v>584</v>
      </c>
      <c r="D291" s="14" t="s">
        <v>43</v>
      </c>
      <c r="E291" s="19">
        <f t="shared" si="8"/>
        <v>2.9</v>
      </c>
      <c r="F291" s="19">
        <v>2.9</v>
      </c>
      <c r="G291" s="19">
        <v>2.8</v>
      </c>
      <c r="H291" s="19"/>
      <c r="I291" s="4"/>
      <c r="J291" s="4"/>
      <c r="K291" s="4"/>
      <c r="L291" s="4"/>
      <c r="N291" s="44"/>
      <c r="O291" s="44"/>
      <c r="P291" s="44"/>
      <c r="Q291" s="44"/>
    </row>
    <row r="292" spans="1:17" ht="26.4" x14ac:dyDescent="0.25">
      <c r="A292" s="191">
        <v>118</v>
      </c>
      <c r="B292" s="193"/>
      <c r="C292" s="15" t="s">
        <v>7</v>
      </c>
      <c r="D292" s="14" t="s">
        <v>585</v>
      </c>
      <c r="E292" s="19">
        <f t="shared" si="8"/>
        <v>71.600000000000009</v>
      </c>
      <c r="F292" s="19">
        <f>64.8+F293+2.2+5-8.3</f>
        <v>66.600000000000009</v>
      </c>
      <c r="G292" s="19">
        <f>45.8+G293+5-3.3</f>
        <v>50.3</v>
      </c>
      <c r="H292" s="19">
        <v>5</v>
      </c>
      <c r="I292" s="4"/>
      <c r="J292" s="4"/>
      <c r="K292" s="4"/>
      <c r="L292" s="4"/>
      <c r="N292" s="44"/>
      <c r="O292" s="44"/>
      <c r="P292" s="44"/>
      <c r="Q292" s="44"/>
    </row>
    <row r="293" spans="1:17" x14ac:dyDescent="0.25">
      <c r="A293" s="192"/>
      <c r="B293" s="194"/>
      <c r="C293" s="15" t="s">
        <v>584</v>
      </c>
      <c r="D293" s="14" t="s">
        <v>43</v>
      </c>
      <c r="E293" s="19">
        <f t="shared" si="8"/>
        <v>2.9</v>
      </c>
      <c r="F293" s="19">
        <v>2.9</v>
      </c>
      <c r="G293" s="19">
        <v>2.8</v>
      </c>
      <c r="H293" s="19"/>
      <c r="I293" s="4"/>
      <c r="J293" s="4"/>
      <c r="K293" s="4"/>
      <c r="L293" s="4"/>
      <c r="N293" s="44"/>
      <c r="O293" s="44"/>
      <c r="P293" s="44"/>
      <c r="Q293" s="44"/>
    </row>
    <row r="294" spans="1:17" ht="26.4" x14ac:dyDescent="0.25">
      <c r="A294" s="12">
        <v>119</v>
      </c>
      <c r="B294" s="1"/>
      <c r="C294" s="15" t="s">
        <v>6</v>
      </c>
      <c r="D294" s="14" t="s">
        <v>394</v>
      </c>
      <c r="E294" s="19">
        <f t="shared" si="8"/>
        <v>63.1</v>
      </c>
      <c r="F294" s="19">
        <f>55.6+0.4+3.5+2.1+1.5</f>
        <v>63.1</v>
      </c>
      <c r="G294" s="19">
        <f>44+3.4+2.1+0.7</f>
        <v>50.2</v>
      </c>
      <c r="H294" s="19"/>
      <c r="I294" s="4"/>
      <c r="J294" s="4"/>
      <c r="K294" s="4"/>
      <c r="L294" s="4"/>
      <c r="N294" s="44"/>
      <c r="O294" s="44"/>
      <c r="P294" s="44"/>
      <c r="Q294" s="44"/>
    </row>
    <row r="295" spans="1:17" ht="26.4" x14ac:dyDescent="0.25">
      <c r="A295" s="191">
        <v>120</v>
      </c>
      <c r="B295" s="193"/>
      <c r="C295" s="15" t="s">
        <v>9</v>
      </c>
      <c r="D295" s="14" t="s">
        <v>585</v>
      </c>
      <c r="E295" s="19">
        <f t="shared" si="8"/>
        <v>78.2</v>
      </c>
      <c r="F295" s="19">
        <f>65.1+F296+2.6+3.2+4.4</f>
        <v>78.2</v>
      </c>
      <c r="G295" s="19">
        <f>46.9+G296+3.2+6.5</f>
        <v>59.4</v>
      </c>
      <c r="H295" s="19"/>
      <c r="I295" s="4"/>
      <c r="J295" s="4"/>
      <c r="K295" s="4"/>
      <c r="L295" s="4"/>
      <c r="N295" s="44"/>
      <c r="O295" s="44"/>
      <c r="P295" s="44"/>
      <c r="Q295" s="44"/>
    </row>
    <row r="296" spans="1:17" x14ac:dyDescent="0.25">
      <c r="A296" s="192"/>
      <c r="B296" s="194"/>
      <c r="C296" s="15" t="s">
        <v>584</v>
      </c>
      <c r="D296" s="14" t="s">
        <v>43</v>
      </c>
      <c r="E296" s="19">
        <f t="shared" si="8"/>
        <v>2.9</v>
      </c>
      <c r="F296" s="19">
        <v>2.9</v>
      </c>
      <c r="G296" s="19">
        <v>2.8</v>
      </c>
      <c r="H296" s="19"/>
      <c r="I296" s="4"/>
      <c r="J296" s="4"/>
      <c r="K296" s="4"/>
      <c r="L296" s="4"/>
      <c r="N296" s="44"/>
      <c r="O296" s="44"/>
      <c r="P296" s="44"/>
      <c r="Q296" s="44"/>
    </row>
    <row r="297" spans="1:17" ht="26.4" x14ac:dyDescent="0.25">
      <c r="A297" s="191">
        <v>121</v>
      </c>
      <c r="B297" s="193"/>
      <c r="C297" s="16" t="s">
        <v>10</v>
      </c>
      <c r="D297" s="14" t="s">
        <v>585</v>
      </c>
      <c r="E297" s="19">
        <f t="shared" si="8"/>
        <v>142.59999999999997</v>
      </c>
      <c r="F297" s="19">
        <f>108.4+F298+6.1+7.5+5-7+0.6</f>
        <v>123.29999999999998</v>
      </c>
      <c r="G297" s="19">
        <f>72.5+G298+5+0.2</f>
        <v>80.3</v>
      </c>
      <c r="H297" s="19">
        <f>13.7+5.6</f>
        <v>19.299999999999997</v>
      </c>
      <c r="I297" s="4"/>
      <c r="J297" s="4"/>
      <c r="K297" s="4"/>
      <c r="L297" s="4"/>
      <c r="N297" s="44"/>
      <c r="O297" s="44"/>
      <c r="P297" s="44"/>
      <c r="Q297" s="44"/>
    </row>
    <row r="298" spans="1:17" ht="19.5" customHeight="1" x14ac:dyDescent="0.25">
      <c r="A298" s="192"/>
      <c r="B298" s="194"/>
      <c r="C298" s="16" t="s">
        <v>584</v>
      </c>
      <c r="D298" s="14" t="s">
        <v>43</v>
      </c>
      <c r="E298" s="19">
        <f t="shared" si="8"/>
        <v>2.6999999999999997</v>
      </c>
      <c r="F298" s="19">
        <f>2.9-0.2</f>
        <v>2.6999999999999997</v>
      </c>
      <c r="G298" s="19">
        <f>2.8-0.2</f>
        <v>2.5999999999999996</v>
      </c>
      <c r="H298" s="19"/>
      <c r="I298" s="4"/>
      <c r="J298" s="4"/>
      <c r="K298" s="4"/>
      <c r="L298" s="4"/>
      <c r="N298" s="44"/>
      <c r="O298" s="44"/>
      <c r="P298" s="44"/>
      <c r="Q298" s="44"/>
    </row>
    <row r="299" spans="1:17" ht="26.4" x14ac:dyDescent="0.25">
      <c r="A299" s="191">
        <v>122</v>
      </c>
      <c r="B299" s="193"/>
      <c r="C299" s="15" t="s">
        <v>12</v>
      </c>
      <c r="D299" s="14" t="s">
        <v>585</v>
      </c>
      <c r="E299" s="19">
        <f t="shared" si="8"/>
        <v>67</v>
      </c>
      <c r="F299" s="19">
        <f>59.4+F300+0.5+2.9+1.3</f>
        <v>67</v>
      </c>
      <c r="G299" s="19">
        <f>48.1+G300+2.9+0.3</f>
        <v>54.099999999999994</v>
      </c>
      <c r="H299" s="19"/>
      <c r="I299" s="4"/>
      <c r="J299" s="4"/>
      <c r="K299" s="4"/>
      <c r="L299" s="4"/>
      <c r="N299" s="44"/>
      <c r="O299" s="44"/>
      <c r="P299" s="44"/>
      <c r="Q299" s="44"/>
    </row>
    <row r="300" spans="1:17" x14ac:dyDescent="0.25">
      <c r="A300" s="192"/>
      <c r="B300" s="194"/>
      <c r="C300" s="15" t="s">
        <v>584</v>
      </c>
      <c r="D300" s="14" t="s">
        <v>43</v>
      </c>
      <c r="E300" s="19">
        <f t="shared" si="8"/>
        <v>2.9</v>
      </c>
      <c r="F300" s="19">
        <v>2.9</v>
      </c>
      <c r="G300" s="19">
        <v>2.8</v>
      </c>
      <c r="H300" s="19"/>
      <c r="I300" s="4"/>
      <c r="J300" s="4"/>
      <c r="K300" s="4"/>
      <c r="L300" s="4"/>
      <c r="N300" s="44"/>
      <c r="O300" s="44"/>
      <c r="P300" s="44"/>
      <c r="Q300" s="44"/>
    </row>
    <row r="301" spans="1:17" ht="26.4" x14ac:dyDescent="0.25">
      <c r="A301" s="191">
        <v>123</v>
      </c>
      <c r="B301" s="193"/>
      <c r="C301" s="15" t="s">
        <v>125</v>
      </c>
      <c r="D301" s="14" t="s">
        <v>585</v>
      </c>
      <c r="E301" s="19">
        <f t="shared" si="8"/>
        <v>103.4</v>
      </c>
      <c r="F301" s="19">
        <f>90.4+F302-4.5+3+3.8-4.3+0.1</f>
        <v>91.4</v>
      </c>
      <c r="G301" s="19">
        <f>55.7+G302+3.8+0.2</f>
        <v>62.5</v>
      </c>
      <c r="H301" s="19">
        <f>4.5+2+5.5</f>
        <v>12</v>
      </c>
      <c r="I301" s="4"/>
      <c r="J301" s="4"/>
      <c r="K301" s="4"/>
      <c r="L301" s="4"/>
      <c r="N301" s="44"/>
      <c r="O301" s="44"/>
      <c r="P301" s="44"/>
      <c r="Q301" s="44"/>
    </row>
    <row r="302" spans="1:17" x14ac:dyDescent="0.25">
      <c r="A302" s="192"/>
      <c r="B302" s="194"/>
      <c r="C302" s="15" t="s">
        <v>584</v>
      </c>
      <c r="D302" s="14" t="s">
        <v>43</v>
      </c>
      <c r="E302" s="19">
        <f t="shared" si="8"/>
        <v>2.9</v>
      </c>
      <c r="F302" s="19">
        <v>2.9</v>
      </c>
      <c r="G302" s="19">
        <v>2.8</v>
      </c>
      <c r="H302" s="19"/>
      <c r="I302" s="4"/>
      <c r="J302" s="4"/>
      <c r="K302" s="4"/>
      <c r="L302" s="4"/>
      <c r="N302" s="44"/>
      <c r="O302" s="44"/>
      <c r="P302" s="44"/>
      <c r="Q302" s="44"/>
    </row>
    <row r="303" spans="1:17" ht="26.4" x14ac:dyDescent="0.25">
      <c r="A303" s="191">
        <v>124</v>
      </c>
      <c r="B303" s="193"/>
      <c r="C303" s="15" t="s">
        <v>13</v>
      </c>
      <c r="D303" s="14" t="s">
        <v>585</v>
      </c>
      <c r="E303" s="19">
        <f t="shared" si="8"/>
        <v>72.000000000000014</v>
      </c>
      <c r="F303" s="19">
        <f>70+F304+0.7+3.4-5</f>
        <v>72.000000000000014</v>
      </c>
      <c r="G303" s="19">
        <f>53.1+G304+3.3-4.3</f>
        <v>54.9</v>
      </c>
      <c r="H303" s="19"/>
      <c r="I303" s="4"/>
      <c r="J303" s="4"/>
      <c r="K303" s="4"/>
      <c r="L303" s="4"/>
      <c r="N303" s="44"/>
      <c r="O303" s="44"/>
      <c r="P303" s="44"/>
      <c r="Q303" s="44"/>
    </row>
    <row r="304" spans="1:17" x14ac:dyDescent="0.25">
      <c r="A304" s="192"/>
      <c r="B304" s="194"/>
      <c r="C304" s="15" t="s">
        <v>584</v>
      </c>
      <c r="D304" s="14" t="s">
        <v>43</v>
      </c>
      <c r="E304" s="19">
        <f t="shared" si="8"/>
        <v>2.9</v>
      </c>
      <c r="F304" s="19">
        <v>2.9</v>
      </c>
      <c r="G304" s="19">
        <v>2.8</v>
      </c>
      <c r="H304" s="19"/>
      <c r="I304" s="4"/>
      <c r="J304" s="4"/>
      <c r="K304" s="4"/>
      <c r="L304" s="4"/>
      <c r="N304" s="44"/>
      <c r="O304" s="44"/>
      <c r="P304" s="44"/>
      <c r="Q304" s="44"/>
    </row>
    <row r="305" spans="1:22" ht="26.4" x14ac:dyDescent="0.25">
      <c r="A305" s="191">
        <v>125</v>
      </c>
      <c r="B305" s="193"/>
      <c r="C305" s="15" t="s">
        <v>14</v>
      </c>
      <c r="D305" s="14" t="s">
        <v>585</v>
      </c>
      <c r="E305" s="19">
        <f t="shared" si="8"/>
        <v>129.70000000000002</v>
      </c>
      <c r="F305" s="19">
        <f>108.2+F306+9.9+3.9-4.5+0.1+4.7</f>
        <v>125.20000000000002</v>
      </c>
      <c r="G305" s="19">
        <f>70.6+G306+3.9-1.6</f>
        <v>75.7</v>
      </c>
      <c r="H305" s="19">
        <v>4.5</v>
      </c>
      <c r="I305" s="4"/>
      <c r="J305" s="4"/>
      <c r="K305" s="4"/>
      <c r="L305" s="4"/>
      <c r="N305" s="44"/>
      <c r="O305" s="44"/>
      <c r="P305" s="44"/>
      <c r="Q305" s="44"/>
    </row>
    <row r="306" spans="1:22" x14ac:dyDescent="0.25">
      <c r="A306" s="192"/>
      <c r="B306" s="194"/>
      <c r="C306" s="15" t="s">
        <v>584</v>
      </c>
      <c r="D306" s="14" t="s">
        <v>43</v>
      </c>
      <c r="E306" s="19">
        <f t="shared" si="8"/>
        <v>2.9</v>
      </c>
      <c r="F306" s="19">
        <v>2.9</v>
      </c>
      <c r="G306" s="19">
        <v>2.8</v>
      </c>
      <c r="H306" s="19"/>
      <c r="I306" s="4"/>
      <c r="J306" s="4"/>
      <c r="K306" s="4"/>
      <c r="L306" s="4"/>
      <c r="N306" s="44"/>
      <c r="O306" s="44"/>
      <c r="P306" s="44"/>
      <c r="Q306" s="44"/>
    </row>
    <row r="307" spans="1:22" ht="13.8" x14ac:dyDescent="0.25">
      <c r="A307" s="12">
        <v>126</v>
      </c>
      <c r="B307" s="1"/>
      <c r="C307" s="126" t="s">
        <v>21</v>
      </c>
      <c r="D307" s="1"/>
      <c r="E307" s="108">
        <f>+F307+H307</f>
        <v>37484.5</v>
      </c>
      <c r="F307" s="108">
        <f>+F12+F56+F77+F114+F140+F163+F189+F236+F261+F266+F270</f>
        <v>34389.199999999997</v>
      </c>
      <c r="G307" s="108">
        <f>+G12+G56+G77+G114+G140+G163+G189+G236+G261+G266+G270</f>
        <v>18033.299999999996</v>
      </c>
      <c r="H307" s="108">
        <f>+H12+H56+H77+H114+H140+H163+H189+H236+H261+H266+H270</f>
        <v>3095.3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x14ac:dyDescent="0.25">
      <c r="C308" s="5"/>
      <c r="G308" s="127"/>
      <c r="H308" s="128"/>
    </row>
    <row r="309" spans="1:22" x14ac:dyDescent="0.25">
      <c r="A309" s="2" t="s">
        <v>284</v>
      </c>
      <c r="B309" s="2"/>
      <c r="C309" s="2"/>
      <c r="D309" s="2"/>
      <c r="E309" s="2"/>
      <c r="F309" s="2"/>
      <c r="G309" s="2"/>
      <c r="H309" s="2"/>
    </row>
    <row r="310" spans="1:22" x14ac:dyDescent="0.25">
      <c r="C310" s="129"/>
      <c r="E310" s="127"/>
      <c r="F310" s="127"/>
      <c r="G310" s="127"/>
      <c r="H310" s="127"/>
    </row>
    <row r="311" spans="1:22" x14ac:dyDescent="0.25">
      <c r="C311" s="5"/>
      <c r="E311" s="127"/>
      <c r="F311" s="127"/>
      <c r="G311" s="127"/>
      <c r="H311" s="127"/>
    </row>
    <row r="312" spans="1:22" x14ac:dyDescent="0.25">
      <c r="C312" s="130"/>
      <c r="E312" s="131"/>
    </row>
    <row r="313" spans="1:22" x14ac:dyDescent="0.25">
      <c r="C313" s="132"/>
    </row>
    <row r="314" spans="1:22" x14ac:dyDescent="0.25">
      <c r="F314" s="127"/>
      <c r="H314" s="127"/>
      <c r="J314" s="4"/>
    </row>
    <row r="315" spans="1:22" x14ac:dyDescent="0.25">
      <c r="E315" s="127"/>
    </row>
    <row r="317" spans="1:22" x14ac:dyDescent="0.25">
      <c r="C317" s="132"/>
    </row>
    <row r="318" spans="1:22" x14ac:dyDescent="0.25">
      <c r="E318" s="133"/>
      <c r="F318" s="133"/>
      <c r="G318" s="133"/>
      <c r="H318" s="133"/>
    </row>
    <row r="319" spans="1:22" x14ac:dyDescent="0.25">
      <c r="E319" s="134"/>
      <c r="F319" s="134"/>
      <c r="G319" s="134"/>
      <c r="H319" s="134"/>
    </row>
    <row r="323" spans="5:8" x14ac:dyDescent="0.25">
      <c r="E323" s="127"/>
      <c r="F323" s="127"/>
      <c r="G323" s="127"/>
      <c r="H323" s="127"/>
    </row>
    <row r="325" spans="5:8" x14ac:dyDescent="0.25">
      <c r="E325" s="127"/>
      <c r="F325" s="127"/>
      <c r="G325" s="127"/>
      <c r="H325" s="127"/>
    </row>
    <row r="334" spans="5:8" x14ac:dyDescent="0.25">
      <c r="E334" s="127"/>
      <c r="F334" s="127"/>
      <c r="G334" s="127"/>
      <c r="H334" s="127"/>
    </row>
  </sheetData>
  <mergeCells count="45">
    <mergeCell ref="A303:A304"/>
    <mergeCell ref="B303:B304"/>
    <mergeCell ref="A305:A306"/>
    <mergeCell ref="B305:B306"/>
    <mergeCell ref="A297:A298"/>
    <mergeCell ref="B297:B298"/>
    <mergeCell ref="A299:A300"/>
    <mergeCell ref="B299:B300"/>
    <mergeCell ref="A301:A302"/>
    <mergeCell ref="B301:B302"/>
    <mergeCell ref="A290:A291"/>
    <mergeCell ref="B290:B291"/>
    <mergeCell ref="A292:A293"/>
    <mergeCell ref="B292:B293"/>
    <mergeCell ref="A295:A296"/>
    <mergeCell ref="B295:B296"/>
    <mergeCell ref="A288:A289"/>
    <mergeCell ref="B288:B289"/>
    <mergeCell ref="A118:A122"/>
    <mergeCell ref="B118:B122"/>
    <mergeCell ref="D118:D122"/>
    <mergeCell ref="D148:D149"/>
    <mergeCell ref="A148:A150"/>
    <mergeCell ref="B148:B150"/>
    <mergeCell ref="A164:A165"/>
    <mergeCell ref="B164:B165"/>
    <mergeCell ref="D164:D165"/>
    <mergeCell ref="A286:A287"/>
    <mergeCell ref="B286:B287"/>
    <mergeCell ref="F8:H8"/>
    <mergeCell ref="F9:G9"/>
    <mergeCell ref="H9:H10"/>
    <mergeCell ref="A78:A80"/>
    <mergeCell ref="B78:B80"/>
    <mergeCell ref="D78:D80"/>
    <mergeCell ref="A8:A10"/>
    <mergeCell ref="B8:B10"/>
    <mergeCell ref="C8:C10"/>
    <mergeCell ref="D8:D10"/>
    <mergeCell ref="E8:E10"/>
    <mergeCell ref="C1:H1"/>
    <mergeCell ref="C2:H2"/>
    <mergeCell ref="E3:H3"/>
    <mergeCell ref="A5:H5"/>
    <mergeCell ref="G7:H7"/>
  </mergeCells>
  <pageMargins left="0.39370078740157483" right="0" top="0.39370078740157483" bottom="0.19685039370078741" header="0.31496062992125984" footer="0.31496062992125984"/>
  <pageSetup paperSize="9" orientation="portrait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107"/>
  <sheetViews>
    <sheetView workbookViewId="0">
      <selection activeCell="E3" sqref="E3:H3"/>
    </sheetView>
  </sheetViews>
  <sheetFormatPr defaultColWidth="9.109375" defaultRowHeight="13.2" x14ac:dyDescent="0.25"/>
  <cols>
    <col min="1" max="1" width="3.88671875" style="3" customWidth="1"/>
    <col min="2" max="2" width="5.44140625" style="7" customWidth="1"/>
    <col min="3" max="3" width="51.5546875" style="129" customWidth="1"/>
    <col min="4" max="4" width="9.44140625" style="138" customWidth="1"/>
    <col min="5" max="5" width="7.44140625" style="5" customWidth="1"/>
    <col min="6" max="6" width="7.6640625" style="5" customWidth="1"/>
    <col min="7" max="7" width="7.44140625" style="5" customWidth="1"/>
    <col min="8" max="8" width="6" style="5" customWidth="1"/>
    <col min="9" max="16384" width="9.109375" style="2"/>
  </cols>
  <sheetData>
    <row r="1" spans="1:12" ht="15.6" x14ac:dyDescent="0.3">
      <c r="C1" s="172" t="s">
        <v>819</v>
      </c>
      <c r="D1" s="172"/>
      <c r="E1" s="172"/>
      <c r="F1" s="172"/>
      <c r="G1" s="172"/>
      <c r="H1" s="172"/>
    </row>
    <row r="2" spans="1:12" ht="15.6" x14ac:dyDescent="0.3">
      <c r="C2" s="172" t="s">
        <v>818</v>
      </c>
      <c r="D2" s="172"/>
      <c r="E2" s="172"/>
      <c r="F2" s="172"/>
      <c r="G2" s="172"/>
      <c r="H2" s="172"/>
    </row>
    <row r="3" spans="1:12" ht="15.6" x14ac:dyDescent="0.3">
      <c r="C3" s="27"/>
      <c r="D3" s="27"/>
      <c r="E3" s="173" t="s">
        <v>288</v>
      </c>
      <c r="F3" s="173"/>
      <c r="G3" s="173"/>
      <c r="H3" s="173"/>
    </row>
    <row r="4" spans="1:12" ht="12" customHeight="1" x14ac:dyDescent="0.25">
      <c r="C4" s="6"/>
      <c r="D4" s="6"/>
      <c r="E4" s="6"/>
      <c r="F4" s="6"/>
      <c r="G4" s="6"/>
      <c r="H4" s="6"/>
    </row>
    <row r="5" spans="1:12" ht="25.5" customHeight="1" x14ac:dyDescent="0.25">
      <c r="A5" s="174" t="s">
        <v>390</v>
      </c>
      <c r="B5" s="174"/>
      <c r="C5" s="174"/>
      <c r="D5" s="174"/>
      <c r="E5" s="174"/>
      <c r="F5" s="174"/>
      <c r="G5" s="174"/>
      <c r="H5" s="174"/>
    </row>
    <row r="6" spans="1:12" x14ac:dyDescent="0.25">
      <c r="A6" s="34"/>
      <c r="B6" s="34"/>
      <c r="C6" s="34"/>
      <c r="D6" s="34"/>
      <c r="E6" s="34"/>
      <c r="F6" s="34"/>
      <c r="G6" s="34"/>
      <c r="H6" s="34"/>
    </row>
    <row r="7" spans="1:12" x14ac:dyDescent="0.25">
      <c r="H7" s="5" t="s">
        <v>140</v>
      </c>
    </row>
    <row r="8" spans="1:12" ht="35.25" customHeight="1" x14ac:dyDescent="0.25">
      <c r="A8" s="201" t="s">
        <v>0</v>
      </c>
      <c r="B8" s="200" t="s">
        <v>30</v>
      </c>
      <c r="C8" s="201" t="s">
        <v>16</v>
      </c>
      <c r="D8" s="200" t="s">
        <v>289</v>
      </c>
      <c r="E8" s="201" t="s">
        <v>290</v>
      </c>
      <c r="F8" s="201"/>
      <c r="G8" s="201"/>
      <c r="H8" s="201"/>
    </row>
    <row r="9" spans="1:12" x14ac:dyDescent="0.25">
      <c r="A9" s="201"/>
      <c r="B9" s="200"/>
      <c r="C9" s="201"/>
      <c r="D9" s="200"/>
      <c r="E9" s="201" t="s">
        <v>17</v>
      </c>
      <c r="F9" s="201" t="s">
        <v>18</v>
      </c>
      <c r="G9" s="201"/>
      <c r="H9" s="201"/>
    </row>
    <row r="10" spans="1:12" x14ac:dyDescent="0.25">
      <c r="A10" s="201"/>
      <c r="B10" s="200"/>
      <c r="C10" s="201"/>
      <c r="D10" s="200"/>
      <c r="E10" s="201"/>
      <c r="F10" s="201" t="s">
        <v>382</v>
      </c>
      <c r="G10" s="201"/>
      <c r="H10" s="8"/>
    </row>
    <row r="11" spans="1:12" ht="51.75" customHeight="1" x14ac:dyDescent="0.25">
      <c r="A11" s="201"/>
      <c r="B11" s="200"/>
      <c r="C11" s="201"/>
      <c r="D11" s="200"/>
      <c r="E11" s="201"/>
      <c r="F11" s="8" t="s">
        <v>32</v>
      </c>
      <c r="G11" s="8" t="s">
        <v>33</v>
      </c>
      <c r="H11" s="8" t="s">
        <v>31</v>
      </c>
    </row>
    <row r="12" spans="1:12" s="94" customFormat="1" ht="12" customHeight="1" x14ac:dyDescent="0.25">
      <c r="A12" s="10">
        <v>1</v>
      </c>
      <c r="B12" s="9" t="s">
        <v>19</v>
      </c>
      <c r="C12" s="8">
        <v>3</v>
      </c>
      <c r="D12" s="9" t="s">
        <v>34</v>
      </c>
      <c r="E12" s="8">
        <v>5</v>
      </c>
      <c r="F12" s="8">
        <v>6</v>
      </c>
      <c r="G12" s="8">
        <v>7</v>
      </c>
      <c r="H12" s="8">
        <v>8</v>
      </c>
    </row>
    <row r="13" spans="1:12" s="94" customFormat="1" ht="20.100000000000001" customHeight="1" x14ac:dyDescent="0.25">
      <c r="A13" s="12">
        <v>1</v>
      </c>
      <c r="B13" s="9" t="s">
        <v>70</v>
      </c>
      <c r="C13" s="13" t="s">
        <v>71</v>
      </c>
      <c r="D13" s="9"/>
      <c r="E13" s="93">
        <f>+F13+H13</f>
        <v>486.2</v>
      </c>
      <c r="F13" s="93">
        <f>SUM(F14+F16+F18+F20)</f>
        <v>486.2</v>
      </c>
      <c r="G13" s="93">
        <f>SUM(G14+G16+G18+G20)</f>
        <v>315.89999999999998</v>
      </c>
      <c r="H13" s="93">
        <f>SUM(H14+H16+H18+H20)</f>
        <v>0</v>
      </c>
      <c r="I13" s="45"/>
      <c r="J13" s="139"/>
      <c r="K13" s="139"/>
      <c r="L13" s="139"/>
    </row>
    <row r="14" spans="1:12" s="94" customFormat="1" ht="12.6" customHeight="1" x14ac:dyDescent="0.25">
      <c r="A14" s="12">
        <v>2</v>
      </c>
      <c r="B14" s="14" t="s">
        <v>291</v>
      </c>
      <c r="C14" s="41" t="s">
        <v>292</v>
      </c>
      <c r="D14" s="14" t="s">
        <v>287</v>
      </c>
      <c r="E14" s="140">
        <f>+E15</f>
        <v>264.60000000000002</v>
      </c>
      <c r="F14" s="140">
        <f>+F15</f>
        <v>264.60000000000002</v>
      </c>
      <c r="G14" s="140">
        <f>+G15</f>
        <v>213.2</v>
      </c>
      <c r="H14" s="140"/>
      <c r="I14" s="45"/>
      <c r="J14" s="139"/>
      <c r="K14" s="139"/>
      <c r="L14" s="139"/>
    </row>
    <row r="15" spans="1:12" s="94" customFormat="1" ht="12.6" customHeight="1" x14ac:dyDescent="0.25">
      <c r="A15" s="12">
        <v>3</v>
      </c>
      <c r="B15" s="9"/>
      <c r="C15" s="38" t="s">
        <v>283</v>
      </c>
      <c r="D15" s="9"/>
      <c r="E15" s="92">
        <f>+F15+H15</f>
        <v>264.60000000000002</v>
      </c>
      <c r="F15" s="92">
        <v>264.60000000000002</v>
      </c>
      <c r="G15" s="92">
        <v>213.2</v>
      </c>
      <c r="H15" s="92"/>
      <c r="I15" s="45"/>
      <c r="J15" s="139"/>
      <c r="K15" s="139"/>
      <c r="L15" s="139"/>
    </row>
    <row r="16" spans="1:12" s="94" customFormat="1" ht="12.6" customHeight="1" x14ac:dyDescent="0.25">
      <c r="A16" s="12">
        <v>4</v>
      </c>
      <c r="B16" s="14" t="s">
        <v>293</v>
      </c>
      <c r="C16" s="41" t="s">
        <v>294</v>
      </c>
      <c r="D16" s="14" t="s">
        <v>287</v>
      </c>
      <c r="E16" s="140">
        <f>+E17</f>
        <v>131.5</v>
      </c>
      <c r="F16" s="140">
        <f>+F17</f>
        <v>131.5</v>
      </c>
      <c r="G16" s="140">
        <f>+G17</f>
        <v>99.8</v>
      </c>
      <c r="H16" s="140"/>
      <c r="I16" s="45"/>
      <c r="J16" s="139"/>
      <c r="K16" s="139"/>
      <c r="L16" s="139"/>
    </row>
    <row r="17" spans="1:14" s="94" customFormat="1" ht="12.6" customHeight="1" x14ac:dyDescent="0.25">
      <c r="A17" s="12">
        <v>5</v>
      </c>
      <c r="B17" s="14"/>
      <c r="C17" s="38" t="s">
        <v>283</v>
      </c>
      <c r="D17" s="9"/>
      <c r="E17" s="92">
        <f>+F17+H17</f>
        <v>131.5</v>
      </c>
      <c r="F17" s="92">
        <v>131.5</v>
      </c>
      <c r="G17" s="92">
        <v>99.8</v>
      </c>
      <c r="H17" s="92"/>
      <c r="I17" s="45"/>
      <c r="J17" s="139"/>
      <c r="K17" s="139"/>
      <c r="L17" s="139"/>
    </row>
    <row r="18" spans="1:14" s="94" customFormat="1" ht="12.6" customHeight="1" x14ac:dyDescent="0.25">
      <c r="A18" s="12">
        <v>6</v>
      </c>
      <c r="B18" s="14" t="s">
        <v>295</v>
      </c>
      <c r="C18" s="41" t="s">
        <v>296</v>
      </c>
      <c r="D18" s="14" t="s">
        <v>287</v>
      </c>
      <c r="E18" s="140">
        <f>+F18+H18</f>
        <v>87.2</v>
      </c>
      <c r="F18" s="140">
        <f>+F19</f>
        <v>87.2</v>
      </c>
      <c r="G18" s="140">
        <f>+G19</f>
        <v>0</v>
      </c>
      <c r="H18" s="140">
        <f>+H19</f>
        <v>0</v>
      </c>
      <c r="I18" s="45"/>
      <c r="J18" s="139"/>
      <c r="K18" s="139"/>
      <c r="L18" s="139"/>
    </row>
    <row r="19" spans="1:14" s="94" customFormat="1" ht="12.6" customHeight="1" x14ac:dyDescent="0.25">
      <c r="A19" s="12">
        <v>7</v>
      </c>
      <c r="B19" s="14"/>
      <c r="C19" s="38" t="s">
        <v>283</v>
      </c>
      <c r="D19" s="9"/>
      <c r="E19" s="92">
        <f>+F19+H19</f>
        <v>87.2</v>
      </c>
      <c r="F19" s="92">
        <v>87.2</v>
      </c>
      <c r="G19" s="92"/>
      <c r="H19" s="92"/>
      <c r="I19" s="45"/>
      <c r="J19" s="139"/>
      <c r="K19" s="139"/>
      <c r="L19" s="139"/>
    </row>
    <row r="20" spans="1:14" s="94" customFormat="1" ht="12.6" customHeight="1" x14ac:dyDescent="0.25">
      <c r="A20" s="12">
        <v>8</v>
      </c>
      <c r="B20" s="14" t="s">
        <v>297</v>
      </c>
      <c r="C20" s="41" t="s">
        <v>298</v>
      </c>
      <c r="D20" s="14" t="s">
        <v>75</v>
      </c>
      <c r="E20" s="140">
        <f>+E21</f>
        <v>2.9</v>
      </c>
      <c r="F20" s="140">
        <f>+F21</f>
        <v>2.9</v>
      </c>
      <c r="G20" s="140">
        <f>+G21</f>
        <v>2.9</v>
      </c>
      <c r="H20" s="140">
        <f>+H21</f>
        <v>0</v>
      </c>
      <c r="I20" s="45"/>
      <c r="J20" s="139"/>
      <c r="K20" s="139"/>
      <c r="L20" s="139"/>
    </row>
    <row r="21" spans="1:14" s="94" customFormat="1" ht="12.6" customHeight="1" x14ac:dyDescent="0.25">
      <c r="A21" s="12">
        <v>9</v>
      </c>
      <c r="B21" s="9"/>
      <c r="C21" s="43" t="s">
        <v>3</v>
      </c>
      <c r="D21" s="9"/>
      <c r="E21" s="92">
        <f>+F21+H21</f>
        <v>2.9</v>
      </c>
      <c r="F21" s="92">
        <v>2.9</v>
      </c>
      <c r="G21" s="92">
        <v>2.9</v>
      </c>
      <c r="H21" s="92"/>
      <c r="I21" s="45"/>
      <c r="J21" s="139"/>
      <c r="K21" s="139"/>
      <c r="L21" s="139"/>
    </row>
    <row r="22" spans="1:14" ht="20.100000000000001" customHeight="1" x14ac:dyDescent="0.25">
      <c r="A22" s="12">
        <v>10</v>
      </c>
      <c r="B22" s="11" t="s">
        <v>22</v>
      </c>
      <c r="C22" s="17" t="s">
        <v>23</v>
      </c>
      <c r="D22" s="1"/>
      <c r="E22" s="93">
        <f>SUM(E23+E30+E32+E45+E47)</f>
        <v>2781.1</v>
      </c>
      <c r="F22" s="93">
        <f>SUM(F23+F30+F32+F45+F47)</f>
        <v>2781.1</v>
      </c>
      <c r="G22" s="93">
        <f>SUM(G23+G30+G32+G45+G47)</f>
        <v>1252.8000000000002</v>
      </c>
      <c r="H22" s="93">
        <f>SUM(H23+H30+H32+H45+H47)</f>
        <v>0</v>
      </c>
      <c r="I22" s="45"/>
      <c r="J22" s="4"/>
      <c r="K22" s="4"/>
      <c r="L22" s="4"/>
    </row>
    <row r="23" spans="1:14" ht="24.9" customHeight="1" x14ac:dyDescent="0.25">
      <c r="A23" s="12">
        <v>11</v>
      </c>
      <c r="B23" s="1" t="s">
        <v>299</v>
      </c>
      <c r="C23" s="41" t="s">
        <v>300</v>
      </c>
      <c r="D23" s="18" t="s">
        <v>25</v>
      </c>
      <c r="E23" s="42">
        <f>SUM(E24:E28)</f>
        <v>960.30000000000007</v>
      </c>
      <c r="F23" s="42">
        <f>SUM(F24:F28)</f>
        <v>960.30000000000007</v>
      </c>
      <c r="G23" s="42">
        <f>SUM(G24:G28)</f>
        <v>572.20000000000005</v>
      </c>
      <c r="H23" s="42">
        <f>SUM(H24:H28)</f>
        <v>0</v>
      </c>
      <c r="I23" s="45"/>
      <c r="J23" s="4"/>
      <c r="K23" s="4"/>
      <c r="L23" s="4"/>
    </row>
    <row r="24" spans="1:14" ht="12.6" customHeight="1" x14ac:dyDescent="0.25">
      <c r="A24" s="12">
        <v>12</v>
      </c>
      <c r="B24" s="1"/>
      <c r="C24" s="16" t="s">
        <v>1</v>
      </c>
      <c r="D24" s="18"/>
      <c r="E24" s="19">
        <f t="shared" ref="E24:E29" si="0">+F24+H24</f>
        <v>341.1</v>
      </c>
      <c r="F24" s="19">
        <f>197.1+144</f>
        <v>341.1</v>
      </c>
      <c r="G24" s="19">
        <f>194+140.5</f>
        <v>334.5</v>
      </c>
      <c r="H24" s="19"/>
      <c r="I24" s="45"/>
      <c r="J24" s="4"/>
      <c r="K24" s="4"/>
      <c r="L24" s="4"/>
    </row>
    <row r="25" spans="1:14" ht="12.6" customHeight="1" x14ac:dyDescent="0.25">
      <c r="A25" s="12">
        <v>13</v>
      </c>
      <c r="B25" s="1"/>
      <c r="C25" s="104" t="s">
        <v>2</v>
      </c>
      <c r="D25" s="18"/>
      <c r="E25" s="19">
        <f t="shared" si="0"/>
        <v>129.80000000000001</v>
      </c>
      <c r="F25" s="19">
        <f>108.9+20.9</f>
        <v>129.80000000000001</v>
      </c>
      <c r="G25" s="19">
        <f>92+10</f>
        <v>102</v>
      </c>
      <c r="H25" s="19"/>
      <c r="I25" s="45"/>
      <c r="J25" s="4"/>
      <c r="K25" s="4"/>
      <c r="L25" s="4"/>
    </row>
    <row r="26" spans="1:14" ht="12.6" customHeight="1" x14ac:dyDescent="0.25">
      <c r="A26" s="12">
        <v>14</v>
      </c>
      <c r="B26" s="1"/>
      <c r="C26" s="104" t="s">
        <v>15</v>
      </c>
      <c r="D26" s="18"/>
      <c r="E26" s="19">
        <f t="shared" si="0"/>
        <v>81</v>
      </c>
      <c r="F26" s="19">
        <f>64.7+16.3</f>
        <v>81</v>
      </c>
      <c r="G26" s="19">
        <f>42.6+16.1</f>
        <v>58.7</v>
      </c>
      <c r="H26" s="19"/>
      <c r="I26" s="45"/>
      <c r="J26" s="4"/>
      <c r="K26" s="4"/>
      <c r="L26" s="4"/>
    </row>
    <row r="27" spans="1:14" ht="12.6" customHeight="1" x14ac:dyDescent="0.25">
      <c r="A27" s="12">
        <v>15</v>
      </c>
      <c r="B27" s="1"/>
      <c r="C27" s="104" t="s">
        <v>20</v>
      </c>
      <c r="D27" s="18"/>
      <c r="E27" s="19">
        <f t="shared" si="0"/>
        <v>85.4</v>
      </c>
      <c r="F27" s="19">
        <f>67.7+17.7</f>
        <v>85.4</v>
      </c>
      <c r="G27" s="19">
        <f>60.3+16.7</f>
        <v>77</v>
      </c>
      <c r="H27" s="19"/>
      <c r="I27" s="45"/>
      <c r="J27" s="4"/>
      <c r="K27" s="4"/>
      <c r="L27" s="4"/>
    </row>
    <row r="28" spans="1:14" ht="12.6" customHeight="1" x14ac:dyDescent="0.25">
      <c r="A28" s="191">
        <v>16</v>
      </c>
      <c r="B28" s="193"/>
      <c r="C28" s="43" t="s">
        <v>3</v>
      </c>
      <c r="D28" s="18"/>
      <c r="E28" s="19">
        <f t="shared" si="0"/>
        <v>323</v>
      </c>
      <c r="F28" s="19">
        <f>270+53</f>
        <v>323</v>
      </c>
      <c r="G28" s="19"/>
      <c r="H28" s="19"/>
      <c r="I28" s="45"/>
      <c r="J28" s="4"/>
      <c r="K28" s="4"/>
      <c r="L28" s="4"/>
    </row>
    <row r="29" spans="1:14" ht="26.4" x14ac:dyDescent="0.25">
      <c r="A29" s="192"/>
      <c r="B29" s="194"/>
      <c r="C29" s="16" t="s">
        <v>301</v>
      </c>
      <c r="D29" s="18"/>
      <c r="E29" s="19">
        <f t="shared" si="0"/>
        <v>45.6</v>
      </c>
      <c r="F29" s="19">
        <v>45.6</v>
      </c>
      <c r="G29" s="19"/>
      <c r="H29" s="19"/>
      <c r="I29" s="45"/>
      <c r="J29" s="4"/>
      <c r="K29" s="4"/>
      <c r="L29" s="4"/>
    </row>
    <row r="30" spans="1:14" ht="24.9" customHeight="1" x14ac:dyDescent="0.25">
      <c r="A30" s="12">
        <v>17</v>
      </c>
      <c r="B30" s="1" t="s">
        <v>302</v>
      </c>
      <c r="C30" s="41" t="s">
        <v>303</v>
      </c>
      <c r="D30" s="1" t="s">
        <v>24</v>
      </c>
      <c r="E30" s="42">
        <f>SUM(E31:E31)</f>
        <v>681.7</v>
      </c>
      <c r="F30" s="42">
        <f>SUM(F31:F31)</f>
        <v>681.7</v>
      </c>
      <c r="G30" s="42">
        <f>SUM(G31:G31)</f>
        <v>656.1</v>
      </c>
      <c r="H30" s="42"/>
      <c r="I30" s="45"/>
      <c r="J30" s="4"/>
      <c r="K30" s="4"/>
      <c r="L30" s="4"/>
    </row>
    <row r="31" spans="1:14" ht="12.6" customHeight="1" x14ac:dyDescent="0.25">
      <c r="A31" s="12">
        <v>18</v>
      </c>
      <c r="B31" s="1"/>
      <c r="C31" s="16" t="s">
        <v>173</v>
      </c>
      <c r="D31" s="1"/>
      <c r="E31" s="19">
        <f>+F31+H31</f>
        <v>681.7</v>
      </c>
      <c r="F31" s="19">
        <f>644.2+9.6+27.9</f>
        <v>681.7</v>
      </c>
      <c r="G31" s="19">
        <f>619.5+9.6+27</f>
        <v>656.1</v>
      </c>
      <c r="H31" s="42"/>
      <c r="I31" s="45"/>
      <c r="J31" s="4"/>
      <c r="K31" s="4"/>
      <c r="L31" s="4"/>
    </row>
    <row r="32" spans="1:14" ht="45.6" customHeight="1" x14ac:dyDescent="0.25">
      <c r="A32" s="12">
        <v>19</v>
      </c>
      <c r="B32" s="1" t="s">
        <v>304</v>
      </c>
      <c r="C32" s="41" t="s">
        <v>305</v>
      </c>
      <c r="D32" s="14" t="s">
        <v>306</v>
      </c>
      <c r="E32" s="42">
        <f>SUM(E33:E44)</f>
        <v>355.50000000000006</v>
      </c>
      <c r="F32" s="42">
        <f>SUM(F33:F44)</f>
        <v>355.50000000000006</v>
      </c>
      <c r="G32" s="42">
        <f>SUM(G33:G44)</f>
        <v>9.6999999999999993</v>
      </c>
      <c r="H32" s="42"/>
      <c r="I32" s="45"/>
      <c r="J32" s="4"/>
      <c r="K32" s="4"/>
      <c r="L32" s="4"/>
      <c r="M32" s="46"/>
      <c r="N32" s="46"/>
    </row>
    <row r="33" spans="1:12" ht="12.6" customHeight="1" x14ac:dyDescent="0.25">
      <c r="A33" s="12">
        <v>20</v>
      </c>
      <c r="B33" s="1"/>
      <c r="C33" s="43" t="s">
        <v>3</v>
      </c>
      <c r="D33" s="14"/>
      <c r="E33" s="19">
        <f>+F33+H33</f>
        <v>5.4</v>
      </c>
      <c r="F33" s="19">
        <f>5.8+1.6-2</f>
        <v>5.4</v>
      </c>
      <c r="G33" s="19"/>
      <c r="H33" s="19"/>
      <c r="I33" s="45"/>
      <c r="J33" s="4"/>
      <c r="K33" s="4"/>
      <c r="L33" s="4"/>
    </row>
    <row r="34" spans="1:12" ht="24.9" customHeight="1" x14ac:dyDescent="0.25">
      <c r="A34" s="12">
        <v>21</v>
      </c>
      <c r="B34" s="1"/>
      <c r="C34" s="15" t="s">
        <v>8</v>
      </c>
      <c r="D34" s="1"/>
      <c r="E34" s="19">
        <f>+F34+H34</f>
        <v>184.8</v>
      </c>
      <c r="F34" s="19">
        <f>155.8+66.8-28.2-12.3+2.7</f>
        <v>184.8</v>
      </c>
      <c r="G34" s="19">
        <f>4.4+0.8</f>
        <v>5.2</v>
      </c>
      <c r="H34" s="19"/>
      <c r="I34" s="45"/>
      <c r="J34" s="4"/>
      <c r="K34" s="4"/>
      <c r="L34" s="4"/>
    </row>
    <row r="35" spans="1:12" ht="12.6" customHeight="1" x14ac:dyDescent="0.25">
      <c r="A35" s="12">
        <v>22</v>
      </c>
      <c r="B35" s="1"/>
      <c r="C35" s="15" t="s">
        <v>4</v>
      </c>
      <c r="D35" s="1"/>
      <c r="E35" s="19">
        <f t="shared" ref="E35:E46" si="1">+F35+H35</f>
        <v>33.299999999999997</v>
      </c>
      <c r="F35" s="19">
        <f>22.4+6.1+4.5+0.3</f>
        <v>33.299999999999997</v>
      </c>
      <c r="G35" s="19">
        <f>0.7+0.3</f>
        <v>1</v>
      </c>
      <c r="H35" s="19"/>
      <c r="I35" s="45"/>
      <c r="J35" s="4"/>
      <c r="K35" s="4"/>
      <c r="L35" s="4"/>
    </row>
    <row r="36" spans="1:12" ht="12.6" customHeight="1" x14ac:dyDescent="0.25">
      <c r="A36" s="12">
        <v>23</v>
      </c>
      <c r="B36" s="1"/>
      <c r="C36" s="15" t="s">
        <v>5</v>
      </c>
      <c r="D36" s="1"/>
      <c r="E36" s="19">
        <f t="shared" si="1"/>
        <v>7.5000000000000018</v>
      </c>
      <c r="F36" s="19">
        <f>8.8-1.1-2.3+2.1</f>
        <v>7.5000000000000018</v>
      </c>
      <c r="G36" s="19">
        <f>0.3-0.1</f>
        <v>0.19999999999999998</v>
      </c>
      <c r="H36" s="19"/>
      <c r="I36" s="45"/>
      <c r="J36" s="4"/>
      <c r="K36" s="4"/>
      <c r="L36" s="4"/>
    </row>
    <row r="37" spans="1:12" ht="12.6" customHeight="1" x14ac:dyDescent="0.25">
      <c r="A37" s="12">
        <v>24</v>
      </c>
      <c r="B37" s="1"/>
      <c r="C37" s="15" t="s">
        <v>7</v>
      </c>
      <c r="D37" s="1"/>
      <c r="E37" s="19">
        <f>+F37+H37</f>
        <v>22.3</v>
      </c>
      <c r="F37" s="19">
        <f>19.2+2.1+1</f>
        <v>22.3</v>
      </c>
      <c r="G37" s="19">
        <v>0.6</v>
      </c>
      <c r="H37" s="19"/>
      <c r="I37" s="45"/>
      <c r="J37" s="4"/>
      <c r="K37" s="4"/>
      <c r="L37" s="4"/>
    </row>
    <row r="38" spans="1:12" ht="12.6" customHeight="1" x14ac:dyDescent="0.25">
      <c r="A38" s="12">
        <v>25</v>
      </c>
      <c r="B38" s="1"/>
      <c r="C38" s="15" t="s">
        <v>6</v>
      </c>
      <c r="D38" s="1"/>
      <c r="E38" s="19">
        <f t="shared" si="1"/>
        <v>18.100000000000001</v>
      </c>
      <c r="F38" s="19">
        <f>13.9+4.2-1.3+1.3</f>
        <v>18.100000000000001</v>
      </c>
      <c r="G38" s="19">
        <f>0.4+0.1</f>
        <v>0.5</v>
      </c>
      <c r="H38" s="19"/>
      <c r="I38" s="45"/>
      <c r="J38" s="4"/>
      <c r="K38" s="4"/>
      <c r="L38" s="4"/>
    </row>
    <row r="39" spans="1:12" ht="12.6" customHeight="1" x14ac:dyDescent="0.25">
      <c r="A39" s="12">
        <v>26</v>
      </c>
      <c r="B39" s="1"/>
      <c r="C39" s="15" t="s">
        <v>9</v>
      </c>
      <c r="D39" s="1"/>
      <c r="E39" s="19">
        <f t="shared" si="1"/>
        <v>20.8</v>
      </c>
      <c r="F39" s="19">
        <f>12.8+12.2-4.2</f>
        <v>20.8</v>
      </c>
      <c r="G39" s="19">
        <f>0.4+0.2</f>
        <v>0.60000000000000009</v>
      </c>
      <c r="H39" s="19"/>
      <c r="I39" s="45"/>
      <c r="J39" s="4"/>
      <c r="K39" s="4"/>
      <c r="L39" s="4"/>
    </row>
    <row r="40" spans="1:12" ht="12.6" customHeight="1" x14ac:dyDescent="0.25">
      <c r="A40" s="12">
        <v>27</v>
      </c>
      <c r="B40" s="1"/>
      <c r="C40" s="16" t="s">
        <v>10</v>
      </c>
      <c r="D40" s="1"/>
      <c r="E40" s="19">
        <f t="shared" si="1"/>
        <v>10.100000000000001</v>
      </c>
      <c r="F40" s="19">
        <f>5.5+2-0.6+1.3+1.9</f>
        <v>10.100000000000001</v>
      </c>
      <c r="G40" s="19">
        <v>0.2</v>
      </c>
      <c r="H40" s="157"/>
      <c r="I40" s="45"/>
      <c r="J40" s="4"/>
      <c r="K40" s="4"/>
      <c r="L40" s="4"/>
    </row>
    <row r="41" spans="1:12" ht="12.6" customHeight="1" x14ac:dyDescent="0.25">
      <c r="A41" s="12">
        <v>28</v>
      </c>
      <c r="B41" s="1"/>
      <c r="C41" s="15" t="s">
        <v>12</v>
      </c>
      <c r="D41" s="1"/>
      <c r="E41" s="19">
        <f>+F41+H41</f>
        <v>8.5</v>
      </c>
      <c r="F41" s="19">
        <f>6.9+1.6</f>
        <v>8.5</v>
      </c>
      <c r="G41" s="19">
        <v>0.2</v>
      </c>
      <c r="H41" s="19"/>
      <c r="I41" s="45"/>
      <c r="J41" s="4"/>
      <c r="K41" s="4"/>
      <c r="L41" s="4"/>
    </row>
    <row r="42" spans="1:12" ht="12.6" customHeight="1" x14ac:dyDescent="0.25">
      <c r="A42" s="12">
        <v>29</v>
      </c>
      <c r="B42" s="1"/>
      <c r="C42" s="15" t="s">
        <v>11</v>
      </c>
      <c r="D42" s="1"/>
      <c r="E42" s="19">
        <f t="shared" si="1"/>
        <v>16.399999999999999</v>
      </c>
      <c r="F42" s="19">
        <f>12+1+2.1+1.3</f>
        <v>16.399999999999999</v>
      </c>
      <c r="G42" s="19">
        <v>0.4</v>
      </c>
      <c r="H42" s="19"/>
      <c r="I42" s="45"/>
      <c r="J42" s="4"/>
      <c r="K42" s="4"/>
      <c r="L42" s="4"/>
    </row>
    <row r="43" spans="1:12" ht="12.6" customHeight="1" x14ac:dyDescent="0.25">
      <c r="A43" s="12">
        <v>30</v>
      </c>
      <c r="B43" s="1"/>
      <c r="C43" s="15" t="s">
        <v>13</v>
      </c>
      <c r="D43" s="1"/>
      <c r="E43" s="19">
        <f t="shared" si="1"/>
        <v>10.199999999999999</v>
      </c>
      <c r="F43" s="19">
        <f>5.6+3.8+0.8</f>
        <v>10.199999999999999</v>
      </c>
      <c r="G43" s="19">
        <f>0.2+0.1</f>
        <v>0.30000000000000004</v>
      </c>
      <c r="H43" s="19"/>
      <c r="I43" s="45"/>
      <c r="J43" s="4"/>
      <c r="K43" s="4"/>
      <c r="L43" s="4"/>
    </row>
    <row r="44" spans="1:12" ht="12.6" customHeight="1" x14ac:dyDescent="0.25">
      <c r="A44" s="12">
        <v>31</v>
      </c>
      <c r="B44" s="1"/>
      <c r="C44" s="15" t="s">
        <v>14</v>
      </c>
      <c r="D44" s="1"/>
      <c r="E44" s="19">
        <f t="shared" si="1"/>
        <v>18.100000000000001</v>
      </c>
      <c r="F44" s="19">
        <f>18.3+1.5-3+1.3</f>
        <v>18.100000000000001</v>
      </c>
      <c r="G44" s="19">
        <v>0.5</v>
      </c>
      <c r="H44" s="19"/>
      <c r="I44" s="45"/>
      <c r="J44" s="4"/>
      <c r="K44" s="4"/>
      <c r="L44" s="4"/>
    </row>
    <row r="45" spans="1:12" ht="29.25" customHeight="1" x14ac:dyDescent="0.25">
      <c r="A45" s="12">
        <v>32</v>
      </c>
      <c r="B45" s="1" t="s">
        <v>307</v>
      </c>
      <c r="C45" s="141" t="s">
        <v>308</v>
      </c>
      <c r="D45" s="1" t="s">
        <v>35</v>
      </c>
      <c r="E45" s="42">
        <f>+E46</f>
        <v>779.9</v>
      </c>
      <c r="F45" s="42">
        <f>+F46</f>
        <v>779.9</v>
      </c>
      <c r="G45" s="42">
        <f>+G46</f>
        <v>14.8</v>
      </c>
      <c r="H45" s="42"/>
      <c r="I45" s="45"/>
      <c r="J45" s="4"/>
      <c r="K45" s="4"/>
      <c r="L45" s="4"/>
    </row>
    <row r="46" spans="1:12" ht="12.6" customHeight="1" x14ac:dyDescent="0.25">
      <c r="A46" s="12">
        <v>33</v>
      </c>
      <c r="B46" s="1"/>
      <c r="C46" s="43" t="s">
        <v>3</v>
      </c>
      <c r="D46" s="1"/>
      <c r="E46" s="19">
        <f t="shared" si="1"/>
        <v>779.9</v>
      </c>
      <c r="F46" s="19">
        <f>749.9+30</f>
        <v>779.9</v>
      </c>
      <c r="G46" s="19">
        <v>14.8</v>
      </c>
      <c r="H46" s="19"/>
      <c r="I46" s="45"/>
      <c r="J46" s="4"/>
      <c r="K46" s="4"/>
      <c r="L46" s="4"/>
    </row>
    <row r="47" spans="1:12" ht="24.9" customHeight="1" x14ac:dyDescent="0.25">
      <c r="A47" s="12">
        <v>34</v>
      </c>
      <c r="B47" s="1" t="s">
        <v>309</v>
      </c>
      <c r="C47" s="141" t="s">
        <v>310</v>
      </c>
      <c r="D47" s="1" t="s">
        <v>78</v>
      </c>
      <c r="E47" s="42">
        <f>+E48</f>
        <v>3.7</v>
      </c>
      <c r="F47" s="42">
        <f>+F48</f>
        <v>3.7</v>
      </c>
      <c r="G47" s="42">
        <f>+G48</f>
        <v>0</v>
      </c>
      <c r="H47" s="42"/>
      <c r="I47" s="45"/>
      <c r="J47" s="4"/>
      <c r="K47" s="4"/>
      <c r="L47" s="4"/>
    </row>
    <row r="48" spans="1:12" ht="12.6" customHeight="1" x14ac:dyDescent="0.25">
      <c r="A48" s="12">
        <v>35</v>
      </c>
      <c r="B48" s="1"/>
      <c r="C48" s="43" t="s">
        <v>3</v>
      </c>
      <c r="D48" s="1"/>
      <c r="E48" s="19">
        <f>+F48+H48</f>
        <v>3.7</v>
      </c>
      <c r="F48" s="19">
        <v>3.7</v>
      </c>
      <c r="G48" s="19"/>
      <c r="H48" s="19"/>
      <c r="I48" s="45"/>
      <c r="J48" s="4"/>
      <c r="K48" s="4"/>
      <c r="L48" s="4"/>
    </row>
    <row r="49" spans="1:12" ht="20.100000000000001" customHeight="1" x14ac:dyDescent="0.25">
      <c r="A49" s="12">
        <v>36</v>
      </c>
      <c r="B49" s="11" t="s">
        <v>36</v>
      </c>
      <c r="C49" s="17" t="s">
        <v>37</v>
      </c>
      <c r="D49" s="1"/>
      <c r="E49" s="93">
        <f>+F49+H49</f>
        <v>579.4</v>
      </c>
      <c r="F49" s="93">
        <f>+F50+F62+F65</f>
        <v>579.4</v>
      </c>
      <c r="G49" s="93">
        <f>+G50+G62+G65</f>
        <v>194.50000000000006</v>
      </c>
      <c r="H49" s="93">
        <f>+H50+H62+H65</f>
        <v>0</v>
      </c>
      <c r="I49" s="45"/>
      <c r="J49" s="4"/>
      <c r="K49" s="4"/>
      <c r="L49" s="4"/>
    </row>
    <row r="50" spans="1:12" ht="12.6" customHeight="1" x14ac:dyDescent="0.25">
      <c r="A50" s="12">
        <v>37</v>
      </c>
      <c r="B50" s="1" t="s">
        <v>311</v>
      </c>
      <c r="C50" s="141" t="s">
        <v>312</v>
      </c>
      <c r="D50" s="1" t="s">
        <v>313</v>
      </c>
      <c r="E50" s="42">
        <f>SUM(E51:E61)</f>
        <v>200.10000000000002</v>
      </c>
      <c r="F50" s="42">
        <f>SUM(F51:F61)</f>
        <v>200.10000000000002</v>
      </c>
      <c r="G50" s="42">
        <f>SUM(G51:G61)</f>
        <v>186.30000000000007</v>
      </c>
      <c r="H50" s="42"/>
      <c r="I50" s="45"/>
      <c r="J50" s="4"/>
      <c r="K50" s="4"/>
      <c r="L50" s="4"/>
    </row>
    <row r="51" spans="1:12" ht="12.6" customHeight="1" x14ac:dyDescent="0.25">
      <c r="A51" s="12">
        <v>38</v>
      </c>
      <c r="B51" s="1"/>
      <c r="C51" s="43" t="s">
        <v>3</v>
      </c>
      <c r="D51" s="1"/>
      <c r="E51" s="19">
        <f>+F51+H51</f>
        <v>99.5</v>
      </c>
      <c r="F51" s="19">
        <v>99.5</v>
      </c>
      <c r="G51" s="19">
        <v>87.1</v>
      </c>
      <c r="H51" s="19"/>
      <c r="I51" s="45"/>
      <c r="J51" s="4"/>
      <c r="K51" s="4"/>
      <c r="L51" s="4"/>
    </row>
    <row r="52" spans="1:12" ht="12.6" customHeight="1" x14ac:dyDescent="0.25">
      <c r="A52" s="12">
        <v>39</v>
      </c>
      <c r="B52" s="1"/>
      <c r="C52" s="15" t="s">
        <v>4</v>
      </c>
      <c r="D52" s="1"/>
      <c r="E52" s="19">
        <f t="shared" ref="E52:E61" si="2">+F52+H52</f>
        <v>10.6</v>
      </c>
      <c r="F52" s="19">
        <v>10.6</v>
      </c>
      <c r="G52" s="19">
        <v>10.4</v>
      </c>
      <c r="H52" s="19"/>
      <c r="I52" s="45"/>
      <c r="J52" s="4"/>
      <c r="K52" s="4"/>
      <c r="L52" s="4"/>
    </row>
    <row r="53" spans="1:12" ht="12.6" customHeight="1" x14ac:dyDescent="0.25">
      <c r="A53" s="12">
        <v>40</v>
      </c>
      <c r="B53" s="1"/>
      <c r="C53" s="15" t="s">
        <v>5</v>
      </c>
      <c r="D53" s="1"/>
      <c r="E53" s="19">
        <f t="shared" si="2"/>
        <v>8</v>
      </c>
      <c r="F53" s="19">
        <v>8</v>
      </c>
      <c r="G53" s="19">
        <v>7.9</v>
      </c>
      <c r="H53" s="19"/>
      <c r="I53" s="45"/>
      <c r="J53" s="4"/>
      <c r="K53" s="4"/>
      <c r="L53" s="4"/>
    </row>
    <row r="54" spans="1:12" ht="12.6" customHeight="1" x14ac:dyDescent="0.25">
      <c r="A54" s="12">
        <v>41</v>
      </c>
      <c r="B54" s="1"/>
      <c r="C54" s="15" t="s">
        <v>7</v>
      </c>
      <c r="D54" s="1"/>
      <c r="E54" s="19">
        <f>+F54+H54</f>
        <v>11.4</v>
      </c>
      <c r="F54" s="19">
        <v>11.4</v>
      </c>
      <c r="G54" s="19">
        <v>11.3</v>
      </c>
      <c r="H54" s="19"/>
      <c r="I54" s="45"/>
      <c r="J54" s="4"/>
      <c r="K54" s="4"/>
      <c r="L54" s="4"/>
    </row>
    <row r="55" spans="1:12" ht="12.6" customHeight="1" x14ac:dyDescent="0.25">
      <c r="A55" s="12">
        <v>42</v>
      </c>
      <c r="B55" s="1"/>
      <c r="C55" s="15" t="s">
        <v>6</v>
      </c>
      <c r="D55" s="1"/>
      <c r="E55" s="19">
        <f t="shared" si="2"/>
        <v>14.3</v>
      </c>
      <c r="F55" s="19">
        <v>14.3</v>
      </c>
      <c r="G55" s="19">
        <v>14.1</v>
      </c>
      <c r="H55" s="19"/>
      <c r="I55" s="45"/>
      <c r="J55" s="4"/>
      <c r="K55" s="4"/>
      <c r="L55" s="4"/>
    </row>
    <row r="56" spans="1:12" ht="12.6" customHeight="1" x14ac:dyDescent="0.25">
      <c r="A56" s="12">
        <v>43</v>
      </c>
      <c r="B56" s="1"/>
      <c r="C56" s="15" t="s">
        <v>9</v>
      </c>
      <c r="D56" s="1"/>
      <c r="E56" s="19">
        <f t="shared" si="2"/>
        <v>11.4</v>
      </c>
      <c r="F56" s="19">
        <v>11.4</v>
      </c>
      <c r="G56" s="19">
        <v>11.3</v>
      </c>
      <c r="H56" s="19"/>
      <c r="I56" s="45"/>
      <c r="J56" s="4"/>
      <c r="K56" s="4"/>
      <c r="L56" s="4"/>
    </row>
    <row r="57" spans="1:12" ht="12.6" customHeight="1" x14ac:dyDescent="0.25">
      <c r="A57" s="12">
        <v>44</v>
      </c>
      <c r="B57" s="1"/>
      <c r="C57" s="16" t="s">
        <v>10</v>
      </c>
      <c r="D57" s="1"/>
      <c r="E57" s="19">
        <f t="shared" si="2"/>
        <v>7.9</v>
      </c>
      <c r="F57" s="19">
        <v>7.9</v>
      </c>
      <c r="G57" s="19">
        <v>7.8</v>
      </c>
      <c r="H57" s="19"/>
      <c r="I57" s="45"/>
      <c r="J57" s="4"/>
      <c r="K57" s="4"/>
      <c r="L57" s="4"/>
    </row>
    <row r="58" spans="1:12" ht="12.6" customHeight="1" x14ac:dyDescent="0.25">
      <c r="A58" s="12">
        <v>45</v>
      </c>
      <c r="B58" s="1"/>
      <c r="C58" s="15" t="s">
        <v>12</v>
      </c>
      <c r="D58" s="1"/>
      <c r="E58" s="19">
        <f>+F58+H58</f>
        <v>7.4</v>
      </c>
      <c r="F58" s="19">
        <v>7.4</v>
      </c>
      <c r="G58" s="19">
        <v>7.3</v>
      </c>
      <c r="H58" s="19"/>
      <c r="I58" s="45"/>
      <c r="J58" s="4"/>
      <c r="K58" s="4"/>
      <c r="L58" s="4"/>
    </row>
    <row r="59" spans="1:12" ht="12.6" customHeight="1" x14ac:dyDescent="0.25">
      <c r="A59" s="12">
        <v>46</v>
      </c>
      <c r="B59" s="1"/>
      <c r="C59" s="15" t="s">
        <v>11</v>
      </c>
      <c r="D59" s="1"/>
      <c r="E59" s="19">
        <f t="shared" si="2"/>
        <v>10.6</v>
      </c>
      <c r="F59" s="19">
        <v>10.6</v>
      </c>
      <c r="G59" s="19">
        <v>10.4</v>
      </c>
      <c r="H59" s="19"/>
      <c r="I59" s="45"/>
      <c r="J59" s="4"/>
      <c r="K59" s="4"/>
      <c r="L59" s="4"/>
    </row>
    <row r="60" spans="1:12" ht="12.6" customHeight="1" x14ac:dyDescent="0.25">
      <c r="A60" s="12">
        <v>47</v>
      </c>
      <c r="B60" s="1"/>
      <c r="C60" s="15" t="s">
        <v>13</v>
      </c>
      <c r="D60" s="1"/>
      <c r="E60" s="19">
        <f t="shared" si="2"/>
        <v>8.4</v>
      </c>
      <c r="F60" s="19">
        <v>8.4</v>
      </c>
      <c r="G60" s="19">
        <v>8.3000000000000007</v>
      </c>
      <c r="H60" s="19"/>
      <c r="I60" s="45"/>
      <c r="J60" s="4"/>
      <c r="K60" s="4"/>
      <c r="L60" s="4"/>
    </row>
    <row r="61" spans="1:12" ht="12.6" customHeight="1" x14ac:dyDescent="0.25">
      <c r="A61" s="12">
        <v>48</v>
      </c>
      <c r="B61" s="1"/>
      <c r="C61" s="15" t="s">
        <v>14</v>
      </c>
      <c r="D61" s="1"/>
      <c r="E61" s="19">
        <f t="shared" si="2"/>
        <v>10.6</v>
      </c>
      <c r="F61" s="19">
        <v>10.6</v>
      </c>
      <c r="G61" s="19">
        <v>10.4</v>
      </c>
      <c r="H61" s="19"/>
      <c r="I61" s="45"/>
      <c r="J61" s="4"/>
      <c r="K61" s="4"/>
      <c r="L61" s="4"/>
    </row>
    <row r="62" spans="1:12" ht="72" customHeight="1" x14ac:dyDescent="0.25">
      <c r="A62" s="191">
        <v>49</v>
      </c>
      <c r="B62" s="193" t="s">
        <v>314</v>
      </c>
      <c r="C62" s="41" t="s">
        <v>389</v>
      </c>
      <c r="D62" s="193"/>
      <c r="E62" s="42">
        <f>+E64</f>
        <v>360</v>
      </c>
      <c r="F62" s="42">
        <f>+F64</f>
        <v>360</v>
      </c>
      <c r="G62" s="42">
        <f>+G64</f>
        <v>0</v>
      </c>
      <c r="H62" s="42">
        <f>+H64</f>
        <v>0</v>
      </c>
      <c r="I62" s="45"/>
      <c r="J62" s="4"/>
      <c r="K62" s="4"/>
      <c r="L62" s="4"/>
    </row>
    <row r="63" spans="1:12" x14ac:dyDescent="0.25">
      <c r="A63" s="192"/>
      <c r="B63" s="194"/>
      <c r="C63" s="41" t="s">
        <v>315</v>
      </c>
      <c r="D63" s="194"/>
      <c r="E63" s="42">
        <f>+F63+H63</f>
        <v>10</v>
      </c>
      <c r="F63" s="42">
        <v>10</v>
      </c>
      <c r="G63" s="42"/>
      <c r="H63" s="42"/>
      <c r="I63" s="45"/>
      <c r="J63" s="4"/>
      <c r="K63" s="4"/>
      <c r="L63" s="4"/>
    </row>
    <row r="64" spans="1:12" ht="12.6" customHeight="1" x14ac:dyDescent="0.25">
      <c r="A64" s="12">
        <v>50</v>
      </c>
      <c r="B64" s="1"/>
      <c r="C64" s="43" t="s">
        <v>3</v>
      </c>
      <c r="D64" s="1" t="s">
        <v>316</v>
      </c>
      <c r="E64" s="19">
        <f>+F64+H64</f>
        <v>360</v>
      </c>
      <c r="F64" s="19">
        <v>360</v>
      </c>
      <c r="G64" s="19"/>
      <c r="H64" s="19"/>
      <c r="I64" s="45"/>
      <c r="J64" s="4"/>
      <c r="K64" s="4"/>
      <c r="L64" s="4"/>
    </row>
    <row r="65" spans="1:12" ht="13.5" customHeight="1" x14ac:dyDescent="0.25">
      <c r="A65" s="136" t="s">
        <v>383</v>
      </c>
      <c r="B65" s="1"/>
      <c r="C65" s="109" t="s">
        <v>317</v>
      </c>
      <c r="D65" s="1" t="s">
        <v>318</v>
      </c>
      <c r="E65" s="19">
        <f>+F65+H65</f>
        <v>19.3</v>
      </c>
      <c r="F65" s="19">
        <f>+F66</f>
        <v>19.3</v>
      </c>
      <c r="G65" s="19">
        <f>+G66</f>
        <v>8.1999999999999993</v>
      </c>
      <c r="H65" s="19">
        <f>+H66</f>
        <v>0</v>
      </c>
      <c r="I65" s="45"/>
      <c r="J65" s="4"/>
      <c r="K65" s="4"/>
      <c r="L65" s="4"/>
    </row>
    <row r="66" spans="1:12" ht="13.5" customHeight="1" x14ac:dyDescent="0.25">
      <c r="A66" s="12">
        <v>52</v>
      </c>
      <c r="B66" s="1"/>
      <c r="C66" s="15" t="s">
        <v>3</v>
      </c>
      <c r="D66" s="1"/>
      <c r="E66" s="19">
        <f>+F66+H66</f>
        <v>19.3</v>
      </c>
      <c r="F66" s="19">
        <v>19.3</v>
      </c>
      <c r="G66" s="19">
        <v>8.1999999999999993</v>
      </c>
      <c r="H66" s="19"/>
      <c r="I66" s="45"/>
      <c r="J66" s="4"/>
      <c r="K66" s="4"/>
      <c r="L66" s="4"/>
    </row>
    <row r="67" spans="1:12" ht="20.100000000000001" customHeight="1" x14ac:dyDescent="0.25">
      <c r="A67" s="136" t="s">
        <v>319</v>
      </c>
      <c r="B67" s="11" t="s">
        <v>26</v>
      </c>
      <c r="C67" s="17" t="s">
        <v>27</v>
      </c>
      <c r="D67" s="1"/>
      <c r="E67" s="93">
        <f>+F67+H67</f>
        <v>1437.6</v>
      </c>
      <c r="F67" s="93">
        <f>SUM(F68+F70+F72+F74+F76+F78+F80+F82+F84+F86+F88+F90+F102)</f>
        <v>1437.6</v>
      </c>
      <c r="G67" s="93">
        <f>SUM(G68+G70+G72+G74+G76+G78+G80+G82+G84+G86+G88+G90+G102)</f>
        <v>1331.7999999999995</v>
      </c>
      <c r="H67" s="93">
        <f>SUM(H68+H70+H72+H74+H76+H78+H80+H82+H84+H86+H88+H90+H102)</f>
        <v>0</v>
      </c>
      <c r="I67" s="45"/>
      <c r="J67" s="4"/>
      <c r="K67" s="4"/>
      <c r="L67" s="4"/>
    </row>
    <row r="68" spans="1:12" ht="12.6" customHeight="1" x14ac:dyDescent="0.25">
      <c r="A68" s="136" t="s">
        <v>384</v>
      </c>
      <c r="B68" s="1" t="s">
        <v>38</v>
      </c>
      <c r="C68" s="141" t="s">
        <v>320</v>
      </c>
      <c r="D68" s="1" t="s">
        <v>29</v>
      </c>
      <c r="E68" s="42">
        <f>+E69</f>
        <v>1074.3</v>
      </c>
      <c r="F68" s="42">
        <f>+F69</f>
        <v>1074.3</v>
      </c>
      <c r="G68" s="42">
        <f>+G69</f>
        <v>992.6</v>
      </c>
      <c r="H68" s="42"/>
      <c r="I68" s="45"/>
      <c r="J68" s="4"/>
      <c r="K68" s="4"/>
      <c r="L68" s="4"/>
    </row>
    <row r="69" spans="1:12" ht="14.25" customHeight="1" x14ac:dyDescent="0.25">
      <c r="A69" s="136" t="s">
        <v>321</v>
      </c>
      <c r="B69" s="115"/>
      <c r="C69" s="15" t="s">
        <v>28</v>
      </c>
      <c r="D69" s="18"/>
      <c r="E69" s="19">
        <f>+F69+H69</f>
        <v>1074.3</v>
      </c>
      <c r="F69" s="19">
        <f>980.8+93.5</f>
        <v>1074.3</v>
      </c>
      <c r="G69" s="19">
        <f>920.5+74.1-2</f>
        <v>992.6</v>
      </c>
      <c r="H69" s="19"/>
      <c r="I69" s="45"/>
      <c r="J69" s="4"/>
      <c r="K69" s="4"/>
      <c r="L69" s="4"/>
    </row>
    <row r="70" spans="1:12" ht="24.9" customHeight="1" x14ac:dyDescent="0.25">
      <c r="A70" s="136" t="s">
        <v>322</v>
      </c>
      <c r="B70" s="1" t="s">
        <v>39</v>
      </c>
      <c r="C70" s="41" t="s">
        <v>323</v>
      </c>
      <c r="D70" s="1" t="s">
        <v>324</v>
      </c>
      <c r="E70" s="42">
        <f>SUM(E71:E71)</f>
        <v>0.8</v>
      </c>
      <c r="F70" s="42">
        <f>SUM(F71:F71)</f>
        <v>0.8</v>
      </c>
      <c r="G70" s="42">
        <f>SUM(G71:G71)</f>
        <v>0.8</v>
      </c>
      <c r="H70" s="42"/>
      <c r="I70" s="45"/>
      <c r="J70" s="4"/>
      <c r="K70" s="4"/>
      <c r="L70" s="4"/>
    </row>
    <row r="71" spans="1:12" ht="12.6" customHeight="1" x14ac:dyDescent="0.25">
      <c r="A71" s="136" t="s">
        <v>325</v>
      </c>
      <c r="B71" s="1"/>
      <c r="C71" s="43" t="s">
        <v>3</v>
      </c>
      <c r="D71" s="1"/>
      <c r="E71" s="19">
        <f>+F71+H71</f>
        <v>0.8</v>
      </c>
      <c r="F71" s="19">
        <v>0.8</v>
      </c>
      <c r="G71" s="19">
        <v>0.8</v>
      </c>
      <c r="H71" s="19"/>
      <c r="I71" s="45"/>
      <c r="J71" s="4"/>
      <c r="K71" s="4"/>
      <c r="L71" s="4"/>
    </row>
    <row r="72" spans="1:12" ht="12.6" customHeight="1" x14ac:dyDescent="0.25">
      <c r="A72" s="136" t="s">
        <v>326</v>
      </c>
      <c r="B72" s="14" t="s">
        <v>40</v>
      </c>
      <c r="C72" s="41" t="s">
        <v>327</v>
      </c>
      <c r="D72" s="1" t="s">
        <v>324</v>
      </c>
      <c r="E72" s="140">
        <f>+E73</f>
        <v>45</v>
      </c>
      <c r="F72" s="140">
        <f>+F73</f>
        <v>45</v>
      </c>
      <c r="G72" s="140">
        <f>+G73</f>
        <v>39.200000000000003</v>
      </c>
      <c r="H72" s="140"/>
      <c r="I72" s="45"/>
      <c r="J72" s="4"/>
      <c r="K72" s="4"/>
      <c r="L72" s="4"/>
    </row>
    <row r="73" spans="1:12" ht="12.6" customHeight="1" x14ac:dyDescent="0.25">
      <c r="A73" s="136" t="s">
        <v>328</v>
      </c>
      <c r="B73" s="1"/>
      <c r="C73" s="43" t="s">
        <v>3</v>
      </c>
      <c r="D73" s="1"/>
      <c r="E73" s="19">
        <f>+F73+H73</f>
        <v>45</v>
      </c>
      <c r="F73" s="19">
        <v>45</v>
      </c>
      <c r="G73" s="19">
        <v>39.200000000000003</v>
      </c>
      <c r="H73" s="19"/>
      <c r="I73" s="45"/>
      <c r="J73" s="4"/>
      <c r="K73" s="4"/>
      <c r="L73" s="4"/>
    </row>
    <row r="74" spans="1:12" ht="12.6" customHeight="1" x14ac:dyDescent="0.25">
      <c r="A74" s="136" t="s">
        <v>329</v>
      </c>
      <c r="B74" s="1" t="s">
        <v>41</v>
      </c>
      <c r="C74" s="41" t="s">
        <v>330</v>
      </c>
      <c r="D74" s="1" t="s">
        <v>42</v>
      </c>
      <c r="E74" s="42">
        <f>+E75</f>
        <v>33.1</v>
      </c>
      <c r="F74" s="42">
        <f>+F75</f>
        <v>33.1</v>
      </c>
      <c r="G74" s="42">
        <f>+G75</f>
        <v>31.8</v>
      </c>
      <c r="H74" s="42"/>
      <c r="I74" s="45"/>
      <c r="J74" s="4"/>
      <c r="K74" s="4"/>
      <c r="L74" s="4"/>
    </row>
    <row r="75" spans="1:12" ht="12.6" customHeight="1" x14ac:dyDescent="0.25">
      <c r="A75" s="136" t="s">
        <v>331</v>
      </c>
      <c r="B75" s="1"/>
      <c r="C75" s="43" t="s">
        <v>3</v>
      </c>
      <c r="D75" s="1"/>
      <c r="E75" s="19">
        <f>+F75+H75</f>
        <v>33.1</v>
      </c>
      <c r="F75" s="19">
        <v>33.1</v>
      </c>
      <c r="G75" s="19">
        <v>31.8</v>
      </c>
      <c r="H75" s="19"/>
      <c r="I75" s="45"/>
      <c r="J75" s="4"/>
      <c r="K75" s="4"/>
      <c r="L75" s="4"/>
    </row>
    <row r="76" spans="1:12" ht="12.6" customHeight="1" x14ac:dyDescent="0.25">
      <c r="A76" s="136" t="s">
        <v>332</v>
      </c>
      <c r="B76" s="1" t="s">
        <v>247</v>
      </c>
      <c r="C76" s="41" t="s">
        <v>333</v>
      </c>
      <c r="D76" s="14" t="s">
        <v>334</v>
      </c>
      <c r="E76" s="140">
        <f>+E77</f>
        <v>44.9</v>
      </c>
      <c r="F76" s="140">
        <f>+F77</f>
        <v>44.9</v>
      </c>
      <c r="G76" s="140">
        <f>+G77</f>
        <v>37.6</v>
      </c>
      <c r="H76" s="140"/>
      <c r="I76" s="45"/>
      <c r="J76" s="4"/>
      <c r="K76" s="4"/>
      <c r="L76" s="4"/>
    </row>
    <row r="77" spans="1:12" ht="12.6" customHeight="1" x14ac:dyDescent="0.25">
      <c r="A77" s="136" t="s">
        <v>335</v>
      </c>
      <c r="B77" s="1"/>
      <c r="C77" s="43" t="s">
        <v>3</v>
      </c>
      <c r="D77" s="1"/>
      <c r="E77" s="92">
        <f>+F77+H77</f>
        <v>44.9</v>
      </c>
      <c r="F77" s="92">
        <v>44.9</v>
      </c>
      <c r="G77" s="92">
        <v>37.6</v>
      </c>
      <c r="H77" s="19"/>
      <c r="I77" s="45"/>
      <c r="J77" s="4"/>
      <c r="K77" s="4"/>
      <c r="L77" s="4"/>
    </row>
    <row r="78" spans="1:12" ht="12.6" customHeight="1" x14ac:dyDescent="0.25">
      <c r="A78" s="136" t="s">
        <v>336</v>
      </c>
      <c r="B78" s="1" t="s">
        <v>337</v>
      </c>
      <c r="C78" s="141" t="s">
        <v>338</v>
      </c>
      <c r="D78" s="1" t="s">
        <v>42</v>
      </c>
      <c r="E78" s="42">
        <f>+E79</f>
        <v>8.1999999999999993</v>
      </c>
      <c r="F78" s="42">
        <f>+F79</f>
        <v>8.1999999999999993</v>
      </c>
      <c r="G78" s="42">
        <f>+G79</f>
        <v>8.1</v>
      </c>
      <c r="H78" s="42"/>
      <c r="I78" s="45"/>
      <c r="J78" s="4"/>
      <c r="K78" s="4"/>
      <c r="L78" s="4"/>
    </row>
    <row r="79" spans="1:12" ht="12.6" customHeight="1" x14ac:dyDescent="0.25">
      <c r="A79" s="136" t="s">
        <v>339</v>
      </c>
      <c r="B79" s="1"/>
      <c r="C79" s="43" t="s">
        <v>3</v>
      </c>
      <c r="D79" s="1"/>
      <c r="E79" s="19">
        <f>+F79+H79</f>
        <v>8.1999999999999993</v>
      </c>
      <c r="F79" s="19">
        <v>8.1999999999999993</v>
      </c>
      <c r="G79" s="19">
        <v>8.1</v>
      </c>
      <c r="H79" s="19"/>
      <c r="I79" s="45"/>
      <c r="J79" s="4"/>
      <c r="K79" s="4"/>
      <c r="L79" s="4"/>
    </row>
    <row r="80" spans="1:12" ht="12.6" customHeight="1" x14ac:dyDescent="0.25">
      <c r="A80" s="136" t="s">
        <v>340</v>
      </c>
      <c r="B80" s="1" t="s">
        <v>341</v>
      </c>
      <c r="C80" s="41" t="s">
        <v>342</v>
      </c>
      <c r="D80" s="14" t="s">
        <v>343</v>
      </c>
      <c r="E80" s="42">
        <f>+E81</f>
        <v>29.6</v>
      </c>
      <c r="F80" s="42">
        <f>+F81</f>
        <v>29.6</v>
      </c>
      <c r="G80" s="42">
        <f>+G81</f>
        <v>26</v>
      </c>
      <c r="H80" s="42"/>
      <c r="I80" s="45"/>
      <c r="J80" s="4"/>
      <c r="K80" s="4"/>
      <c r="L80" s="4"/>
    </row>
    <row r="81" spans="1:12" ht="11.25" customHeight="1" x14ac:dyDescent="0.25">
      <c r="A81" s="136" t="s">
        <v>344</v>
      </c>
      <c r="B81" s="1"/>
      <c r="C81" s="43" t="s">
        <v>3</v>
      </c>
      <c r="D81" s="1"/>
      <c r="E81" s="19">
        <f>+F81+H81</f>
        <v>29.6</v>
      </c>
      <c r="F81" s="19">
        <v>29.6</v>
      </c>
      <c r="G81" s="19">
        <v>26</v>
      </c>
      <c r="H81" s="19"/>
      <c r="I81" s="45"/>
      <c r="J81" s="4"/>
      <c r="K81" s="4"/>
      <c r="L81" s="4"/>
    </row>
    <row r="82" spans="1:12" ht="12.6" customHeight="1" x14ac:dyDescent="0.25">
      <c r="A82" s="136" t="s">
        <v>345</v>
      </c>
      <c r="B82" s="1" t="s">
        <v>346</v>
      </c>
      <c r="C82" s="141" t="s">
        <v>347</v>
      </c>
      <c r="D82" s="1" t="s">
        <v>42</v>
      </c>
      <c r="E82" s="42">
        <f>+E83</f>
        <v>20.8</v>
      </c>
      <c r="F82" s="42">
        <f>+F83</f>
        <v>20.8</v>
      </c>
      <c r="G82" s="42">
        <f>+G83</f>
        <v>19.7</v>
      </c>
      <c r="H82" s="42"/>
      <c r="I82" s="45"/>
      <c r="J82" s="4"/>
      <c r="K82" s="4"/>
      <c r="L82" s="4"/>
    </row>
    <row r="83" spans="1:12" ht="12.6" customHeight="1" x14ac:dyDescent="0.25">
      <c r="A83" s="136" t="s">
        <v>348</v>
      </c>
      <c r="B83" s="1"/>
      <c r="C83" s="43" t="s">
        <v>3</v>
      </c>
      <c r="D83" s="1"/>
      <c r="E83" s="19">
        <f>+F83+H83</f>
        <v>20.8</v>
      </c>
      <c r="F83" s="19">
        <f>18.2+2.6</f>
        <v>20.8</v>
      </c>
      <c r="G83" s="19">
        <f>17.2+2.5</f>
        <v>19.7</v>
      </c>
      <c r="H83" s="19"/>
      <c r="I83" s="45"/>
      <c r="J83" s="4"/>
      <c r="K83" s="4"/>
      <c r="L83" s="4"/>
    </row>
    <row r="84" spans="1:12" ht="12.6" customHeight="1" x14ac:dyDescent="0.25">
      <c r="A84" s="136" t="s">
        <v>349</v>
      </c>
      <c r="B84" s="1" t="s">
        <v>350</v>
      </c>
      <c r="C84" s="41" t="s">
        <v>351</v>
      </c>
      <c r="D84" s="1" t="s">
        <v>42</v>
      </c>
      <c r="E84" s="42">
        <f>+E85</f>
        <v>14.2</v>
      </c>
      <c r="F84" s="42">
        <f>+F85</f>
        <v>14.2</v>
      </c>
      <c r="G84" s="42">
        <f>+G85</f>
        <v>13.5</v>
      </c>
      <c r="H84" s="42"/>
      <c r="I84" s="45"/>
      <c r="J84" s="4"/>
      <c r="K84" s="4"/>
      <c r="L84" s="4"/>
    </row>
    <row r="85" spans="1:12" ht="12.6" customHeight="1" x14ac:dyDescent="0.25">
      <c r="A85" s="136" t="s">
        <v>352</v>
      </c>
      <c r="B85" s="1"/>
      <c r="C85" s="43" t="s">
        <v>3</v>
      </c>
      <c r="D85" s="1"/>
      <c r="E85" s="19">
        <f>+F85+H85</f>
        <v>14.2</v>
      </c>
      <c r="F85" s="19">
        <v>14.2</v>
      </c>
      <c r="G85" s="19">
        <v>13.5</v>
      </c>
      <c r="H85" s="19"/>
      <c r="I85" s="45"/>
      <c r="J85" s="4"/>
      <c r="K85" s="4"/>
      <c r="L85" s="4"/>
    </row>
    <row r="86" spans="1:12" ht="12.6" customHeight="1" x14ac:dyDescent="0.25">
      <c r="A86" s="136" t="s">
        <v>353</v>
      </c>
      <c r="B86" s="1" t="s">
        <v>354</v>
      </c>
      <c r="C86" s="141" t="s">
        <v>355</v>
      </c>
      <c r="D86" s="1" t="s">
        <v>324</v>
      </c>
      <c r="E86" s="42">
        <f>+E87</f>
        <v>0.8</v>
      </c>
      <c r="F86" s="42">
        <f>+F87</f>
        <v>0.8</v>
      </c>
      <c r="G86" s="42">
        <f>+G87</f>
        <v>0.8</v>
      </c>
      <c r="H86" s="42"/>
      <c r="I86" s="45"/>
      <c r="J86" s="4"/>
      <c r="K86" s="4"/>
      <c r="L86" s="4"/>
    </row>
    <row r="87" spans="1:12" ht="12.6" customHeight="1" x14ac:dyDescent="0.25">
      <c r="A87" s="136" t="s">
        <v>356</v>
      </c>
      <c r="B87" s="1"/>
      <c r="C87" s="43" t="s">
        <v>3</v>
      </c>
      <c r="D87" s="1"/>
      <c r="E87" s="19">
        <f>+F87+H87</f>
        <v>0.8</v>
      </c>
      <c r="F87" s="19">
        <v>0.8</v>
      </c>
      <c r="G87" s="19">
        <v>0.8</v>
      </c>
      <c r="H87" s="19"/>
      <c r="I87" s="45"/>
      <c r="J87" s="4"/>
      <c r="K87" s="4"/>
      <c r="L87" s="4"/>
    </row>
    <row r="88" spans="1:12" ht="12.6" customHeight="1" x14ac:dyDescent="0.25">
      <c r="A88" s="136" t="s">
        <v>357</v>
      </c>
      <c r="B88" s="1" t="s">
        <v>358</v>
      </c>
      <c r="C88" s="141" t="s">
        <v>359</v>
      </c>
      <c r="D88" s="1" t="s">
        <v>42</v>
      </c>
      <c r="E88" s="42">
        <f>SUM(E89:E89)</f>
        <v>8.9</v>
      </c>
      <c r="F88" s="42">
        <f>SUM(F89:F89)</f>
        <v>8.9</v>
      </c>
      <c r="G88" s="42">
        <f>SUM(G89:G89)</f>
        <v>8.8000000000000007</v>
      </c>
      <c r="H88" s="42"/>
      <c r="I88" s="45"/>
      <c r="J88" s="4"/>
      <c r="K88" s="4"/>
      <c r="L88" s="4"/>
    </row>
    <row r="89" spans="1:12" ht="24.9" customHeight="1" x14ac:dyDescent="0.25">
      <c r="A89" s="136" t="s">
        <v>360</v>
      </c>
      <c r="B89" s="36"/>
      <c r="C89" s="15" t="s">
        <v>8</v>
      </c>
      <c r="D89" s="36"/>
      <c r="E89" s="19">
        <f>+F89+H89</f>
        <v>8.9</v>
      </c>
      <c r="F89" s="19">
        <v>8.9</v>
      </c>
      <c r="G89" s="19">
        <v>8.8000000000000007</v>
      </c>
      <c r="H89" s="19"/>
      <c r="I89" s="45"/>
      <c r="J89" s="4"/>
      <c r="K89" s="4"/>
      <c r="L89" s="4"/>
    </row>
    <row r="90" spans="1:12" ht="12.6" customHeight="1" x14ac:dyDescent="0.25">
      <c r="A90" s="136" t="s">
        <v>361</v>
      </c>
      <c r="B90" s="1" t="s">
        <v>363</v>
      </c>
      <c r="C90" s="141" t="s">
        <v>364</v>
      </c>
      <c r="D90" s="1" t="s">
        <v>43</v>
      </c>
      <c r="E90" s="42">
        <f>SUM(E91:E101)</f>
        <v>139.29999999999998</v>
      </c>
      <c r="F90" s="42">
        <f>SUM(F91:F101)</f>
        <v>139.29999999999998</v>
      </c>
      <c r="G90" s="42">
        <f>SUM(G91:G101)</f>
        <v>135.80000000000001</v>
      </c>
      <c r="H90" s="42"/>
      <c r="I90" s="45"/>
      <c r="J90" s="4"/>
      <c r="K90" s="4"/>
      <c r="L90" s="4"/>
    </row>
    <row r="91" spans="1:12" ht="24.9" customHeight="1" x14ac:dyDescent="0.25">
      <c r="A91" s="136" t="s">
        <v>362</v>
      </c>
      <c r="B91" s="1"/>
      <c r="C91" s="15" t="s">
        <v>8</v>
      </c>
      <c r="D91" s="1"/>
      <c r="E91" s="19">
        <f>+F91+H91</f>
        <v>61</v>
      </c>
      <c r="F91" s="19">
        <v>61</v>
      </c>
      <c r="G91" s="19">
        <v>59.4</v>
      </c>
      <c r="H91" s="19"/>
      <c r="I91" s="45"/>
      <c r="J91" s="4"/>
      <c r="K91" s="4"/>
      <c r="L91" s="4"/>
    </row>
    <row r="92" spans="1:12" ht="12.6" customHeight="1" x14ac:dyDescent="0.25">
      <c r="A92" s="136" t="s">
        <v>365</v>
      </c>
      <c r="B92" s="1"/>
      <c r="C92" s="15" t="s">
        <v>4</v>
      </c>
      <c r="D92" s="1"/>
      <c r="E92" s="19">
        <f t="shared" ref="E92:E101" si="3">+F92+H92</f>
        <v>11.6</v>
      </c>
      <c r="F92" s="19">
        <v>11.6</v>
      </c>
      <c r="G92" s="19">
        <v>11.3</v>
      </c>
      <c r="H92" s="19"/>
      <c r="I92" s="45"/>
      <c r="J92" s="4"/>
      <c r="K92" s="4"/>
      <c r="L92" s="4"/>
    </row>
    <row r="93" spans="1:12" ht="12.6" customHeight="1" x14ac:dyDescent="0.25">
      <c r="A93" s="136" t="s">
        <v>366</v>
      </c>
      <c r="B93" s="1"/>
      <c r="C93" s="15" t="s">
        <v>5</v>
      </c>
      <c r="D93" s="1"/>
      <c r="E93" s="19">
        <f t="shared" si="3"/>
        <v>5.8</v>
      </c>
      <c r="F93" s="19">
        <v>5.8</v>
      </c>
      <c r="G93" s="19">
        <v>5.7</v>
      </c>
      <c r="H93" s="19"/>
      <c r="I93" s="45"/>
      <c r="J93" s="4"/>
      <c r="K93" s="4"/>
      <c r="L93" s="4"/>
    </row>
    <row r="94" spans="1:12" ht="12.6" customHeight="1" x14ac:dyDescent="0.25">
      <c r="A94" s="136" t="s">
        <v>367</v>
      </c>
      <c r="B94" s="1"/>
      <c r="C94" s="15" t="s">
        <v>7</v>
      </c>
      <c r="D94" s="1"/>
      <c r="E94" s="19">
        <f>+F94+H94</f>
        <v>11.6</v>
      </c>
      <c r="F94" s="19">
        <v>11.6</v>
      </c>
      <c r="G94" s="19">
        <v>11.3</v>
      </c>
      <c r="H94" s="19"/>
      <c r="I94" s="45"/>
      <c r="J94" s="4"/>
      <c r="K94" s="4"/>
      <c r="L94" s="4"/>
    </row>
    <row r="95" spans="1:12" ht="12.6" customHeight="1" x14ac:dyDescent="0.25">
      <c r="A95" s="136" t="s">
        <v>368</v>
      </c>
      <c r="B95" s="1"/>
      <c r="C95" s="15" t="s">
        <v>6</v>
      </c>
      <c r="D95" s="1"/>
      <c r="E95" s="19">
        <f t="shared" si="3"/>
        <v>11.6</v>
      </c>
      <c r="F95" s="19">
        <v>11.6</v>
      </c>
      <c r="G95" s="19">
        <v>11.3</v>
      </c>
      <c r="H95" s="19"/>
      <c r="I95" s="45"/>
      <c r="J95" s="4"/>
      <c r="K95" s="4"/>
      <c r="L95" s="4"/>
    </row>
    <row r="96" spans="1:12" ht="12.6" customHeight="1" x14ac:dyDescent="0.25">
      <c r="A96" s="136" t="s">
        <v>369</v>
      </c>
      <c r="B96" s="1"/>
      <c r="C96" s="15" t="s">
        <v>9</v>
      </c>
      <c r="D96" s="1"/>
      <c r="E96" s="19">
        <f t="shared" si="3"/>
        <v>8.6999999999999993</v>
      </c>
      <c r="F96" s="19">
        <v>8.6999999999999993</v>
      </c>
      <c r="G96" s="19">
        <v>8.5</v>
      </c>
      <c r="H96" s="19"/>
      <c r="I96" s="45"/>
      <c r="J96" s="4"/>
      <c r="K96" s="4"/>
      <c r="L96" s="4"/>
    </row>
    <row r="97" spans="1:12" ht="12.6" customHeight="1" x14ac:dyDescent="0.25">
      <c r="A97" s="136" t="s">
        <v>370</v>
      </c>
      <c r="B97" s="1"/>
      <c r="C97" s="16" t="s">
        <v>10</v>
      </c>
      <c r="D97" s="1"/>
      <c r="E97" s="19">
        <f t="shared" si="3"/>
        <v>2.9</v>
      </c>
      <c r="F97" s="19">
        <v>2.9</v>
      </c>
      <c r="G97" s="19">
        <v>2.8</v>
      </c>
      <c r="H97" s="19"/>
      <c r="I97" s="45"/>
      <c r="J97" s="4"/>
      <c r="K97" s="4"/>
      <c r="L97" s="4"/>
    </row>
    <row r="98" spans="1:12" ht="12.6" customHeight="1" x14ac:dyDescent="0.25">
      <c r="A98" s="136" t="s">
        <v>371</v>
      </c>
      <c r="B98" s="1"/>
      <c r="C98" s="15" t="s">
        <v>12</v>
      </c>
      <c r="D98" s="1"/>
      <c r="E98" s="19">
        <f>+F98+H98</f>
        <v>5.8</v>
      </c>
      <c r="F98" s="19">
        <v>5.8</v>
      </c>
      <c r="G98" s="19">
        <v>5.7</v>
      </c>
      <c r="H98" s="19"/>
      <c r="I98" s="45"/>
      <c r="J98" s="4"/>
      <c r="K98" s="4"/>
      <c r="L98" s="4"/>
    </row>
    <row r="99" spans="1:12" x14ac:dyDescent="0.25">
      <c r="A99" s="136" t="s">
        <v>372</v>
      </c>
      <c r="B99" s="1"/>
      <c r="C99" s="15" t="s">
        <v>11</v>
      </c>
      <c r="D99" s="1"/>
      <c r="E99" s="19">
        <f t="shared" si="3"/>
        <v>2.9</v>
      </c>
      <c r="F99" s="19">
        <v>2.9</v>
      </c>
      <c r="G99" s="19">
        <v>2.8</v>
      </c>
      <c r="H99" s="19"/>
      <c r="I99" s="45"/>
      <c r="J99" s="4"/>
      <c r="K99" s="4"/>
      <c r="L99" s="4"/>
    </row>
    <row r="100" spans="1:12" ht="15.75" customHeight="1" x14ac:dyDescent="0.25">
      <c r="A100" s="136" t="s">
        <v>373</v>
      </c>
      <c r="B100" s="1"/>
      <c r="C100" s="15" t="s">
        <v>13</v>
      </c>
      <c r="D100" s="1"/>
      <c r="E100" s="19">
        <f t="shared" si="3"/>
        <v>5.8</v>
      </c>
      <c r="F100" s="19">
        <v>5.8</v>
      </c>
      <c r="G100" s="19">
        <v>5.7</v>
      </c>
      <c r="H100" s="19"/>
      <c r="I100" s="45"/>
      <c r="J100" s="4"/>
      <c r="K100" s="4"/>
      <c r="L100" s="4"/>
    </row>
    <row r="101" spans="1:12" x14ac:dyDescent="0.25">
      <c r="A101" s="136" t="s">
        <v>374</v>
      </c>
      <c r="B101" s="1"/>
      <c r="C101" s="15" t="s">
        <v>14</v>
      </c>
      <c r="D101" s="1"/>
      <c r="E101" s="19">
        <f t="shared" si="3"/>
        <v>11.6</v>
      </c>
      <c r="F101" s="19">
        <v>11.6</v>
      </c>
      <c r="G101" s="19">
        <v>11.3</v>
      </c>
      <c r="H101" s="19"/>
      <c r="I101" s="45"/>
      <c r="J101" s="4"/>
      <c r="K101" s="4"/>
      <c r="L101" s="4"/>
    </row>
    <row r="102" spans="1:12" ht="39.6" x14ac:dyDescent="0.25">
      <c r="A102" s="136" t="s">
        <v>375</v>
      </c>
      <c r="B102" s="1" t="s">
        <v>601</v>
      </c>
      <c r="C102" s="109" t="s">
        <v>599</v>
      </c>
      <c r="D102" s="1"/>
      <c r="E102" s="19">
        <f>+F102+H102</f>
        <v>17.7</v>
      </c>
      <c r="F102" s="19">
        <f>+F103</f>
        <v>17.7</v>
      </c>
      <c r="G102" s="19">
        <f>+G103</f>
        <v>17.100000000000001</v>
      </c>
      <c r="H102" s="19">
        <f>+H103</f>
        <v>0</v>
      </c>
      <c r="I102" s="45"/>
      <c r="J102" s="4"/>
      <c r="K102" s="4"/>
      <c r="L102" s="4"/>
    </row>
    <row r="103" spans="1:12" x14ac:dyDescent="0.25">
      <c r="A103" s="136" t="s">
        <v>600</v>
      </c>
      <c r="B103" s="1"/>
      <c r="C103" s="137" t="s">
        <v>3</v>
      </c>
      <c r="D103" s="142" t="s">
        <v>596</v>
      </c>
      <c r="E103" s="19">
        <f>+F103+H103</f>
        <v>17.7</v>
      </c>
      <c r="F103" s="19">
        <v>17.7</v>
      </c>
      <c r="G103" s="19">
        <v>17.100000000000001</v>
      </c>
      <c r="H103" s="19"/>
      <c r="I103" s="45"/>
      <c r="J103" s="4"/>
      <c r="K103" s="4"/>
      <c r="L103" s="4"/>
    </row>
    <row r="104" spans="1:12" ht="12.6" customHeight="1" x14ac:dyDescent="0.25">
      <c r="A104" s="136" t="s">
        <v>797</v>
      </c>
      <c r="B104" s="1"/>
      <c r="C104" s="143" t="s">
        <v>21</v>
      </c>
      <c r="D104" s="11"/>
      <c r="E104" s="93">
        <f>+F104+H104</f>
        <v>5284.2999999999993</v>
      </c>
      <c r="F104" s="93">
        <f>+F13+F22+F49+F67</f>
        <v>5284.2999999999993</v>
      </c>
      <c r="G104" s="93">
        <f>+G13+G22+G49+G67</f>
        <v>3095</v>
      </c>
      <c r="H104" s="93">
        <f>+H13+H22+H49+H67</f>
        <v>0</v>
      </c>
      <c r="I104" s="4"/>
      <c r="J104" s="4"/>
      <c r="K104" s="4"/>
      <c r="L104" s="4"/>
    </row>
    <row r="105" spans="1:12" x14ac:dyDescent="0.25">
      <c r="C105" s="3" t="s">
        <v>376</v>
      </c>
      <c r="D105" s="129"/>
      <c r="E105" s="20"/>
      <c r="F105" s="20"/>
      <c r="G105" s="20"/>
      <c r="H105" s="3"/>
    </row>
    <row r="106" spans="1:12" x14ac:dyDescent="0.25">
      <c r="E106" s="20"/>
      <c r="F106" s="20"/>
      <c r="G106" s="20"/>
      <c r="H106" s="20"/>
    </row>
    <row r="107" spans="1:12" x14ac:dyDescent="0.25">
      <c r="E107" s="20"/>
      <c r="F107" s="20"/>
      <c r="G107" s="20"/>
      <c r="H107" s="20"/>
    </row>
  </sheetData>
  <mergeCells count="17">
    <mergeCell ref="C1:H1"/>
    <mergeCell ref="C2:H2"/>
    <mergeCell ref="E3:H3"/>
    <mergeCell ref="A5:H5"/>
    <mergeCell ref="F10:G10"/>
    <mergeCell ref="A8:A11"/>
    <mergeCell ref="B8:B11"/>
    <mergeCell ref="C8:C11"/>
    <mergeCell ref="E9:E11"/>
    <mergeCell ref="F9:H9"/>
    <mergeCell ref="A28:A29"/>
    <mergeCell ref="B28:B29"/>
    <mergeCell ref="D8:D11"/>
    <mergeCell ref="E8:H8"/>
    <mergeCell ref="A62:A63"/>
    <mergeCell ref="B62:B63"/>
    <mergeCell ref="D62:D63"/>
  </mergeCells>
  <phoneticPr fontId="11" type="noConversion"/>
  <pageMargins left="0.39370078740157483" right="0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52"/>
  <sheetViews>
    <sheetView workbookViewId="0">
      <selection activeCell="C1" sqref="C1:H1"/>
    </sheetView>
  </sheetViews>
  <sheetFormatPr defaultColWidth="9.109375" defaultRowHeight="13.2" x14ac:dyDescent="0.25"/>
  <cols>
    <col min="1" max="1" width="4.6640625" style="3" customWidth="1"/>
    <col min="2" max="2" width="5.6640625" style="7" customWidth="1"/>
    <col min="3" max="3" width="39.44140625" style="144" customWidth="1"/>
    <col min="4" max="4" width="10.5546875" style="6" customWidth="1"/>
    <col min="5" max="6" width="9.44140625" style="5" customWidth="1"/>
    <col min="7" max="7" width="10.88671875" style="5" customWidth="1"/>
    <col min="8" max="8" width="8.109375" style="5" customWidth="1"/>
    <col min="9" max="16384" width="9.109375" style="2"/>
  </cols>
  <sheetData>
    <row r="1" spans="1:12" ht="15.6" x14ac:dyDescent="0.3">
      <c r="C1" s="172" t="s">
        <v>821</v>
      </c>
      <c r="D1" s="172"/>
      <c r="E1" s="172"/>
      <c r="F1" s="172"/>
      <c r="G1" s="172"/>
      <c r="H1" s="172"/>
    </row>
    <row r="2" spans="1:12" ht="15" customHeight="1" x14ac:dyDescent="0.3">
      <c r="C2" s="172" t="s">
        <v>820</v>
      </c>
      <c r="D2" s="172"/>
      <c r="E2" s="172"/>
      <c r="F2" s="172"/>
      <c r="G2" s="172"/>
      <c r="H2" s="172"/>
    </row>
    <row r="3" spans="1:12" ht="15.6" x14ac:dyDescent="0.25">
      <c r="E3" s="173" t="s">
        <v>210</v>
      </c>
      <c r="F3" s="173"/>
      <c r="G3" s="173"/>
      <c r="H3" s="173"/>
    </row>
    <row r="4" spans="1:12" ht="15.6" x14ac:dyDescent="0.25">
      <c r="E4" s="48"/>
      <c r="F4" s="48"/>
      <c r="G4" s="48"/>
      <c r="H4" s="48"/>
    </row>
    <row r="5" spans="1:12" ht="35.25" customHeight="1" x14ac:dyDescent="0.25">
      <c r="A5" s="202" t="s">
        <v>395</v>
      </c>
      <c r="B5" s="202"/>
      <c r="C5" s="202"/>
      <c r="D5" s="202"/>
      <c r="E5" s="202"/>
      <c r="F5" s="202"/>
      <c r="G5" s="202"/>
      <c r="H5" s="202"/>
    </row>
    <row r="6" spans="1:12" x14ac:dyDescent="0.25">
      <c r="A6" s="33"/>
      <c r="B6" s="33"/>
      <c r="C6" s="33"/>
      <c r="D6" s="33"/>
      <c r="E6" s="33"/>
      <c r="F6" s="33"/>
      <c r="G6" s="33"/>
      <c r="H6" s="33"/>
    </row>
    <row r="7" spans="1:12" x14ac:dyDescent="0.25">
      <c r="A7" s="145"/>
      <c r="B7" s="146"/>
      <c r="C7" s="147"/>
      <c r="D7" s="148"/>
      <c r="E7" s="149"/>
      <c r="F7" s="149"/>
      <c r="G7" s="149"/>
      <c r="H7" s="5" t="s">
        <v>140</v>
      </c>
    </row>
    <row r="8" spans="1:12" ht="12.75" customHeight="1" x14ac:dyDescent="0.25">
      <c r="A8" s="201" t="s">
        <v>0</v>
      </c>
      <c r="B8" s="200" t="s">
        <v>30</v>
      </c>
      <c r="C8" s="200" t="s">
        <v>16</v>
      </c>
      <c r="D8" s="201" t="s">
        <v>60</v>
      </c>
      <c r="E8" s="201" t="s">
        <v>17</v>
      </c>
      <c r="F8" s="201" t="s">
        <v>18</v>
      </c>
      <c r="G8" s="201"/>
      <c r="H8" s="201"/>
    </row>
    <row r="9" spans="1:12" ht="12.75" customHeight="1" x14ac:dyDescent="0.25">
      <c r="A9" s="203"/>
      <c r="B9" s="200"/>
      <c r="C9" s="200"/>
      <c r="D9" s="201"/>
      <c r="E9" s="201"/>
      <c r="F9" s="201" t="s">
        <v>382</v>
      </c>
      <c r="G9" s="201"/>
      <c r="H9" s="201" t="s">
        <v>31</v>
      </c>
    </row>
    <row r="10" spans="1:12" ht="39.6" x14ac:dyDescent="0.25">
      <c r="A10" s="203"/>
      <c r="B10" s="200"/>
      <c r="C10" s="200"/>
      <c r="D10" s="201"/>
      <c r="E10" s="201"/>
      <c r="F10" s="8" t="s">
        <v>32</v>
      </c>
      <c r="G10" s="8" t="s">
        <v>33</v>
      </c>
      <c r="H10" s="201"/>
    </row>
    <row r="11" spans="1:12" s="94" customFormat="1" ht="12.75" customHeight="1" x14ac:dyDescent="0.25">
      <c r="A11" s="10">
        <v>1</v>
      </c>
      <c r="B11" s="9" t="s">
        <v>19</v>
      </c>
      <c r="C11" s="9" t="s">
        <v>109</v>
      </c>
      <c r="D11" s="8">
        <v>4</v>
      </c>
      <c r="E11" s="8">
        <v>5</v>
      </c>
      <c r="F11" s="8">
        <v>6</v>
      </c>
      <c r="G11" s="8">
        <v>7</v>
      </c>
      <c r="H11" s="10">
        <v>8</v>
      </c>
    </row>
    <row r="12" spans="1:12" s="94" customFormat="1" ht="20.100000000000001" customHeight="1" x14ac:dyDescent="0.25">
      <c r="A12" s="12">
        <v>1</v>
      </c>
      <c r="B12" s="11" t="s">
        <v>61</v>
      </c>
      <c r="C12" s="13" t="s">
        <v>62</v>
      </c>
      <c r="D12" s="8"/>
      <c r="E12" s="96">
        <f t="shared" ref="E12:E144" si="0">+F12+H12</f>
        <v>1034</v>
      </c>
      <c r="F12" s="96">
        <f>+F13+F16+F36+F50+F86+F57+F66+F68</f>
        <v>499</v>
      </c>
      <c r="G12" s="96">
        <f>+G13+G16+G36+G50+G86+G57+G66+G68</f>
        <v>209.9</v>
      </c>
      <c r="H12" s="96">
        <f>+H13+H16+H36+H50+H86+H57+H66+H68</f>
        <v>535</v>
      </c>
      <c r="I12" s="45"/>
      <c r="J12" s="45"/>
      <c r="K12" s="45"/>
      <c r="L12" s="45"/>
    </row>
    <row r="13" spans="1:12" x14ac:dyDescent="0.25">
      <c r="A13" s="12">
        <v>2</v>
      </c>
      <c r="B13" s="14" t="s">
        <v>586</v>
      </c>
      <c r="C13" s="150" t="s">
        <v>606</v>
      </c>
      <c r="D13" s="18"/>
      <c r="E13" s="42">
        <f t="shared" si="0"/>
        <v>274.60000000000002</v>
      </c>
      <c r="F13" s="42">
        <f>+F14+F15</f>
        <v>274.60000000000002</v>
      </c>
      <c r="G13" s="42">
        <f>+G14+G15</f>
        <v>8.1</v>
      </c>
      <c r="H13" s="42">
        <f>+H14+H15</f>
        <v>0</v>
      </c>
      <c r="I13" s="45"/>
      <c r="J13" s="45"/>
      <c r="K13" s="45"/>
      <c r="L13" s="45"/>
    </row>
    <row r="14" spans="1:12" ht="15.6" customHeight="1" x14ac:dyDescent="0.25">
      <c r="A14" s="12">
        <v>3</v>
      </c>
      <c r="B14" s="1"/>
      <c r="C14" s="137" t="s">
        <v>282</v>
      </c>
      <c r="D14" s="14" t="s">
        <v>387</v>
      </c>
      <c r="E14" s="19">
        <f t="shared" si="0"/>
        <v>266.40000000000003</v>
      </c>
      <c r="F14" s="19">
        <f>274.6-8.2</f>
        <v>266.40000000000003</v>
      </c>
      <c r="G14" s="19"/>
      <c r="H14" s="19"/>
      <c r="I14" s="45"/>
      <c r="J14" s="45"/>
      <c r="K14" s="45"/>
      <c r="L14" s="45"/>
    </row>
    <row r="15" spans="1:12" ht="15.6" customHeight="1" x14ac:dyDescent="0.25">
      <c r="A15" s="12">
        <v>4</v>
      </c>
      <c r="B15" s="1"/>
      <c r="C15" s="16" t="s">
        <v>582</v>
      </c>
      <c r="D15" s="14" t="s">
        <v>583</v>
      </c>
      <c r="E15" s="19">
        <f t="shared" si="0"/>
        <v>8.1999999999999993</v>
      </c>
      <c r="F15" s="19">
        <v>8.1999999999999993</v>
      </c>
      <c r="G15" s="19">
        <v>8.1</v>
      </c>
      <c r="H15" s="19"/>
      <c r="I15" s="45"/>
      <c r="J15" s="45"/>
      <c r="K15" s="45"/>
      <c r="L15" s="45"/>
    </row>
    <row r="16" spans="1:12" ht="26.4" x14ac:dyDescent="0.25">
      <c r="A16" s="12">
        <v>5</v>
      </c>
      <c r="B16" s="14" t="s">
        <v>587</v>
      </c>
      <c r="C16" s="150" t="s">
        <v>607</v>
      </c>
      <c r="D16" s="18"/>
      <c r="E16" s="42">
        <f t="shared" si="0"/>
        <v>20.9</v>
      </c>
      <c r="F16" s="42">
        <f>SUM(F17:F34)</f>
        <v>20.9</v>
      </c>
      <c r="G16" s="42">
        <f>SUM(G17:G34)</f>
        <v>20.7</v>
      </c>
      <c r="H16" s="42">
        <f>SUM(H17:H34)</f>
        <v>0</v>
      </c>
      <c r="I16" s="45"/>
      <c r="J16" s="45"/>
      <c r="K16" s="45"/>
      <c r="L16" s="45"/>
    </row>
    <row r="17" spans="1:12" x14ac:dyDescent="0.25">
      <c r="A17" s="12">
        <v>6</v>
      </c>
      <c r="B17" s="1"/>
      <c r="C17" s="15" t="s">
        <v>250</v>
      </c>
      <c r="D17" s="1" t="s">
        <v>64</v>
      </c>
      <c r="E17" s="19">
        <f t="shared" si="0"/>
        <v>0.3</v>
      </c>
      <c r="F17" s="19">
        <v>0.3</v>
      </c>
      <c r="G17" s="19">
        <v>0.3</v>
      </c>
      <c r="H17" s="19"/>
      <c r="I17" s="45"/>
      <c r="J17" s="45"/>
      <c r="K17" s="45"/>
      <c r="L17" s="45"/>
    </row>
    <row r="18" spans="1:12" x14ac:dyDescent="0.25">
      <c r="A18" s="12">
        <v>7</v>
      </c>
      <c r="B18" s="1"/>
      <c r="C18" s="23" t="s">
        <v>200</v>
      </c>
      <c r="D18" s="1" t="s">
        <v>65</v>
      </c>
      <c r="E18" s="19">
        <f t="shared" si="0"/>
        <v>1.9</v>
      </c>
      <c r="F18" s="19">
        <v>1.9</v>
      </c>
      <c r="G18" s="19">
        <v>1.9</v>
      </c>
      <c r="H18" s="19"/>
      <c r="I18" s="45"/>
      <c r="J18" s="45"/>
      <c r="K18" s="45"/>
      <c r="L18" s="45"/>
    </row>
    <row r="19" spans="1:12" x14ac:dyDescent="0.25">
      <c r="A19" s="12">
        <v>8</v>
      </c>
      <c r="B19" s="1"/>
      <c r="C19" s="23" t="s">
        <v>50</v>
      </c>
      <c r="D19" s="1" t="s">
        <v>65</v>
      </c>
      <c r="E19" s="19">
        <f t="shared" si="0"/>
        <v>1.9</v>
      </c>
      <c r="F19" s="19">
        <v>1.9</v>
      </c>
      <c r="G19" s="19">
        <v>1.8</v>
      </c>
      <c r="H19" s="19"/>
      <c r="I19" s="45"/>
      <c r="J19" s="45"/>
      <c r="K19" s="45"/>
      <c r="L19" s="45"/>
    </row>
    <row r="20" spans="1:12" x14ac:dyDescent="0.25">
      <c r="A20" s="12">
        <v>9</v>
      </c>
      <c r="B20" s="1"/>
      <c r="C20" s="15" t="s">
        <v>146</v>
      </c>
      <c r="D20" s="1" t="s">
        <v>65</v>
      </c>
      <c r="E20" s="19">
        <f t="shared" si="0"/>
        <v>1.2</v>
      </c>
      <c r="F20" s="19">
        <v>1.2</v>
      </c>
      <c r="G20" s="19">
        <v>1.2</v>
      </c>
      <c r="H20" s="19"/>
      <c r="I20" s="45"/>
      <c r="J20" s="45"/>
      <c r="K20" s="45"/>
      <c r="L20" s="45"/>
    </row>
    <row r="21" spans="1:12" x14ac:dyDescent="0.25">
      <c r="A21" s="12">
        <v>10</v>
      </c>
      <c r="B21" s="1"/>
      <c r="C21" s="15" t="s">
        <v>147</v>
      </c>
      <c r="D21" s="1" t="s">
        <v>65</v>
      </c>
      <c r="E21" s="19">
        <f t="shared" si="0"/>
        <v>1.1000000000000001</v>
      </c>
      <c r="F21" s="19">
        <v>1.1000000000000001</v>
      </c>
      <c r="G21" s="19">
        <v>1.1000000000000001</v>
      </c>
      <c r="H21" s="19"/>
      <c r="I21" s="45"/>
      <c r="J21" s="45"/>
      <c r="K21" s="45"/>
      <c r="L21" s="45"/>
    </row>
    <row r="22" spans="1:12" x14ac:dyDescent="0.25">
      <c r="A22" s="12">
        <v>11</v>
      </c>
      <c r="B22" s="1"/>
      <c r="C22" s="15" t="s">
        <v>44</v>
      </c>
      <c r="D22" s="1" t="s">
        <v>65</v>
      </c>
      <c r="E22" s="19">
        <f t="shared" si="0"/>
        <v>1</v>
      </c>
      <c r="F22" s="19">
        <v>1</v>
      </c>
      <c r="G22" s="19">
        <v>1</v>
      </c>
      <c r="H22" s="19"/>
      <c r="I22" s="45"/>
      <c r="J22" s="45"/>
      <c r="K22" s="45"/>
      <c r="L22" s="45"/>
    </row>
    <row r="23" spans="1:12" x14ac:dyDescent="0.25">
      <c r="A23" s="12">
        <v>12</v>
      </c>
      <c r="B23" s="1"/>
      <c r="C23" s="23" t="s">
        <v>150</v>
      </c>
      <c r="D23" s="1" t="s">
        <v>65</v>
      </c>
      <c r="E23" s="19">
        <f t="shared" si="0"/>
        <v>1</v>
      </c>
      <c r="F23" s="19">
        <v>1</v>
      </c>
      <c r="G23" s="19">
        <v>1</v>
      </c>
      <c r="H23" s="19"/>
      <c r="I23" s="45"/>
      <c r="J23" s="45"/>
      <c r="K23" s="45"/>
      <c r="L23" s="45"/>
    </row>
    <row r="24" spans="1:12" ht="26.4" x14ac:dyDescent="0.25">
      <c r="A24" s="12">
        <v>13</v>
      </c>
      <c r="B24" s="1"/>
      <c r="C24" s="15" t="s">
        <v>198</v>
      </c>
      <c r="D24" s="1" t="s">
        <v>66</v>
      </c>
      <c r="E24" s="19">
        <f t="shared" si="0"/>
        <v>3.3</v>
      </c>
      <c r="F24" s="19">
        <v>3.3</v>
      </c>
      <c r="G24" s="19">
        <v>3.3</v>
      </c>
      <c r="H24" s="19"/>
      <c r="I24" s="45"/>
      <c r="J24" s="45"/>
      <c r="K24" s="45"/>
      <c r="L24" s="45"/>
    </row>
    <row r="25" spans="1:12" x14ac:dyDescent="0.25">
      <c r="A25" s="12">
        <v>14</v>
      </c>
      <c r="B25" s="1"/>
      <c r="C25" s="23" t="s">
        <v>199</v>
      </c>
      <c r="D25" s="14" t="s">
        <v>286</v>
      </c>
      <c r="E25" s="19">
        <f t="shared" si="0"/>
        <v>3.8</v>
      </c>
      <c r="F25" s="19">
        <v>3.8</v>
      </c>
      <c r="G25" s="19">
        <v>3.7</v>
      </c>
      <c r="H25" s="19"/>
      <c r="I25" s="45"/>
      <c r="J25" s="45"/>
      <c r="K25" s="45"/>
      <c r="L25" s="45"/>
    </row>
    <row r="26" spans="1:12" x14ac:dyDescent="0.25">
      <c r="A26" s="12">
        <v>15</v>
      </c>
      <c r="B26" s="1"/>
      <c r="C26" s="15" t="s">
        <v>129</v>
      </c>
      <c r="D26" s="14" t="s">
        <v>286</v>
      </c>
      <c r="E26" s="19">
        <f t="shared" si="0"/>
        <v>2.2000000000000002</v>
      </c>
      <c r="F26" s="19">
        <v>2.2000000000000002</v>
      </c>
      <c r="G26" s="19">
        <v>2.2000000000000002</v>
      </c>
      <c r="H26" s="19"/>
      <c r="I26" s="45"/>
      <c r="J26" s="45"/>
      <c r="K26" s="45"/>
      <c r="L26" s="45"/>
    </row>
    <row r="27" spans="1:12" x14ac:dyDescent="0.25">
      <c r="A27" s="12">
        <v>16</v>
      </c>
      <c r="B27" s="1"/>
      <c r="C27" s="15" t="s">
        <v>45</v>
      </c>
      <c r="D27" s="1" t="s">
        <v>66</v>
      </c>
      <c r="E27" s="19">
        <f t="shared" si="0"/>
        <v>0.4</v>
      </c>
      <c r="F27" s="19">
        <v>0.4</v>
      </c>
      <c r="G27" s="19">
        <v>0.4</v>
      </c>
      <c r="H27" s="19"/>
      <c r="I27" s="45"/>
      <c r="J27" s="45"/>
      <c r="K27" s="45"/>
      <c r="L27" s="45"/>
    </row>
    <row r="28" spans="1:12" x14ac:dyDescent="0.25">
      <c r="A28" s="12">
        <v>17</v>
      </c>
      <c r="B28" s="1"/>
      <c r="C28" s="15" t="s">
        <v>148</v>
      </c>
      <c r="D28" s="1" t="s">
        <v>66</v>
      </c>
      <c r="E28" s="19">
        <f t="shared" si="0"/>
        <v>0.6</v>
      </c>
      <c r="F28" s="19">
        <v>0.6</v>
      </c>
      <c r="G28" s="19">
        <v>0.6</v>
      </c>
      <c r="H28" s="19"/>
      <c r="I28" s="45"/>
      <c r="J28" s="45"/>
      <c r="K28" s="45"/>
      <c r="L28" s="45"/>
    </row>
    <row r="29" spans="1:12" x14ac:dyDescent="0.25">
      <c r="A29" s="12">
        <v>18</v>
      </c>
      <c r="B29" s="1"/>
      <c r="C29" s="15" t="s">
        <v>281</v>
      </c>
      <c r="D29" s="1" t="s">
        <v>66</v>
      </c>
      <c r="E29" s="19">
        <f t="shared" si="0"/>
        <v>0.3</v>
      </c>
      <c r="F29" s="19">
        <v>0.3</v>
      </c>
      <c r="G29" s="19">
        <v>0.3</v>
      </c>
      <c r="H29" s="19"/>
      <c r="I29" s="45"/>
      <c r="J29" s="45"/>
      <c r="K29" s="45"/>
      <c r="L29" s="45"/>
    </row>
    <row r="30" spans="1:12" ht="26.4" x14ac:dyDescent="0.25">
      <c r="A30" s="12">
        <v>19</v>
      </c>
      <c r="B30" s="1"/>
      <c r="C30" s="15" t="s">
        <v>46</v>
      </c>
      <c r="D30" s="1" t="s">
        <v>66</v>
      </c>
      <c r="E30" s="19">
        <f t="shared" si="0"/>
        <v>0.4</v>
      </c>
      <c r="F30" s="19">
        <v>0.4</v>
      </c>
      <c r="G30" s="19">
        <v>0.4</v>
      </c>
      <c r="H30" s="19"/>
      <c r="I30" s="45"/>
      <c r="J30" s="45"/>
      <c r="K30" s="45"/>
      <c r="L30" s="45"/>
    </row>
    <row r="31" spans="1:12" x14ac:dyDescent="0.25">
      <c r="A31" s="12">
        <v>20</v>
      </c>
      <c r="B31" s="1"/>
      <c r="C31" s="15" t="s">
        <v>149</v>
      </c>
      <c r="D31" s="1" t="s">
        <v>66</v>
      </c>
      <c r="E31" s="19">
        <f t="shared" si="0"/>
        <v>0.3</v>
      </c>
      <c r="F31" s="19">
        <v>0.3</v>
      </c>
      <c r="G31" s="19">
        <v>0.3</v>
      </c>
      <c r="H31" s="19"/>
      <c r="I31" s="45"/>
      <c r="J31" s="45"/>
      <c r="K31" s="45"/>
      <c r="L31" s="45"/>
    </row>
    <row r="32" spans="1:12" ht="26.4" x14ac:dyDescent="0.25">
      <c r="A32" s="12">
        <v>21</v>
      </c>
      <c r="B32" s="1"/>
      <c r="C32" s="15" t="s">
        <v>118</v>
      </c>
      <c r="D32" s="14" t="s">
        <v>385</v>
      </c>
      <c r="E32" s="19">
        <f t="shared" si="0"/>
        <v>0.7</v>
      </c>
      <c r="F32" s="19">
        <v>0.7</v>
      </c>
      <c r="G32" s="19">
        <v>0.7</v>
      </c>
      <c r="H32" s="19"/>
      <c r="I32" s="45"/>
      <c r="J32" s="45"/>
      <c r="K32" s="45"/>
      <c r="L32" s="45"/>
    </row>
    <row r="33" spans="1:12" x14ac:dyDescent="0.25">
      <c r="A33" s="12">
        <v>22</v>
      </c>
      <c r="B33" s="1"/>
      <c r="C33" s="21" t="s">
        <v>799</v>
      </c>
      <c r="D33" s="14" t="s">
        <v>66</v>
      </c>
      <c r="E33" s="19">
        <f t="shared" si="0"/>
        <v>0.4</v>
      </c>
      <c r="F33" s="19">
        <v>0.4</v>
      </c>
      <c r="G33" s="19">
        <v>0.4</v>
      </c>
      <c r="H33" s="19"/>
      <c r="I33" s="45"/>
      <c r="J33" s="45"/>
      <c r="K33" s="45"/>
      <c r="L33" s="45"/>
    </row>
    <row r="34" spans="1:12" ht="15.6" customHeight="1" x14ac:dyDescent="0.25">
      <c r="A34" s="12">
        <v>23</v>
      </c>
      <c r="B34" s="1"/>
      <c r="C34" s="23" t="s">
        <v>386</v>
      </c>
      <c r="D34" s="14" t="s">
        <v>387</v>
      </c>
      <c r="E34" s="19">
        <f t="shared" si="0"/>
        <v>0.1</v>
      </c>
      <c r="F34" s="19">
        <f>+F35</f>
        <v>0.1</v>
      </c>
      <c r="G34" s="19">
        <f>+G35</f>
        <v>0.1</v>
      </c>
      <c r="H34" s="19"/>
      <c r="I34" s="45"/>
      <c r="J34" s="45"/>
      <c r="K34" s="45"/>
      <c r="L34" s="45"/>
    </row>
    <row r="35" spans="1:12" x14ac:dyDescent="0.25">
      <c r="A35" s="151" t="s">
        <v>611</v>
      </c>
      <c r="B35" s="1"/>
      <c r="C35" s="16" t="s">
        <v>798</v>
      </c>
      <c r="D35" s="14"/>
      <c r="E35" s="19">
        <f t="shared" si="0"/>
        <v>0.1</v>
      </c>
      <c r="F35" s="19">
        <v>0.1</v>
      </c>
      <c r="G35" s="19">
        <v>0.1</v>
      </c>
      <c r="H35" s="19"/>
      <c r="I35" s="45"/>
      <c r="J35" s="45"/>
      <c r="K35" s="45"/>
      <c r="L35" s="45"/>
    </row>
    <row r="36" spans="1:12" ht="26.4" x14ac:dyDescent="0.25">
      <c r="A36" s="12">
        <v>24</v>
      </c>
      <c r="B36" s="1" t="s">
        <v>588</v>
      </c>
      <c r="C36" s="152" t="s">
        <v>610</v>
      </c>
      <c r="D36" s="14"/>
      <c r="E36" s="42">
        <f t="shared" si="0"/>
        <v>101.29999999999997</v>
      </c>
      <c r="F36" s="42">
        <f>SUM(F37:F49)</f>
        <v>101.29999999999997</v>
      </c>
      <c r="G36" s="42">
        <f>SUM(G37:G49)</f>
        <v>99.5</v>
      </c>
      <c r="H36" s="42">
        <f>SUM(H37:H49)</f>
        <v>0</v>
      </c>
      <c r="I36" s="45"/>
      <c r="J36" s="45"/>
      <c r="K36" s="45"/>
      <c r="L36" s="45"/>
    </row>
    <row r="37" spans="1:12" x14ac:dyDescent="0.25">
      <c r="A37" s="12">
        <v>25</v>
      </c>
      <c r="B37" s="1"/>
      <c r="C37" s="23" t="s">
        <v>201</v>
      </c>
      <c r="D37" s="1" t="s">
        <v>63</v>
      </c>
      <c r="E37" s="19">
        <f t="shared" si="0"/>
        <v>5.0999999999999996</v>
      </c>
      <c r="F37" s="19">
        <v>5.0999999999999996</v>
      </c>
      <c r="G37" s="19">
        <v>5</v>
      </c>
      <c r="H37" s="19"/>
      <c r="I37" s="45"/>
      <c r="J37" s="45"/>
      <c r="K37" s="45"/>
      <c r="L37" s="45"/>
    </row>
    <row r="38" spans="1:12" x14ac:dyDescent="0.25">
      <c r="A38" s="12">
        <v>26</v>
      </c>
      <c r="B38" s="1"/>
      <c r="C38" s="23" t="s">
        <v>192</v>
      </c>
      <c r="D38" s="1" t="s">
        <v>63</v>
      </c>
      <c r="E38" s="19">
        <f t="shared" si="0"/>
        <v>10.1</v>
      </c>
      <c r="F38" s="19">
        <v>10.1</v>
      </c>
      <c r="G38" s="19">
        <v>10</v>
      </c>
      <c r="H38" s="19"/>
      <c r="I38" s="45"/>
      <c r="J38" s="45"/>
      <c r="K38" s="45"/>
      <c r="L38" s="45"/>
    </row>
    <row r="39" spans="1:12" x14ac:dyDescent="0.25">
      <c r="A39" s="12">
        <v>27</v>
      </c>
      <c r="B39" s="1"/>
      <c r="C39" s="23" t="s">
        <v>195</v>
      </c>
      <c r="D39" s="1" t="s">
        <v>63</v>
      </c>
      <c r="E39" s="19">
        <f t="shared" si="0"/>
        <v>10.1</v>
      </c>
      <c r="F39" s="19">
        <v>10.1</v>
      </c>
      <c r="G39" s="19">
        <v>10</v>
      </c>
      <c r="H39" s="19"/>
      <c r="I39" s="45"/>
      <c r="J39" s="45"/>
      <c r="K39" s="45"/>
      <c r="L39" s="45"/>
    </row>
    <row r="40" spans="1:12" x14ac:dyDescent="0.25">
      <c r="A40" s="12">
        <v>28</v>
      </c>
      <c r="B40" s="1"/>
      <c r="C40" s="23" t="s">
        <v>196</v>
      </c>
      <c r="D40" s="1" t="s">
        <v>63</v>
      </c>
      <c r="E40" s="19">
        <f t="shared" si="0"/>
        <v>10.1</v>
      </c>
      <c r="F40" s="19">
        <v>10.1</v>
      </c>
      <c r="G40" s="19">
        <v>10</v>
      </c>
      <c r="H40" s="19"/>
      <c r="I40" s="45"/>
      <c r="J40" s="45"/>
      <c r="K40" s="45"/>
      <c r="L40" s="45"/>
    </row>
    <row r="41" spans="1:12" x14ac:dyDescent="0.25">
      <c r="A41" s="12">
        <v>29</v>
      </c>
      <c r="B41" s="1"/>
      <c r="C41" s="15" t="s">
        <v>250</v>
      </c>
      <c r="D41" s="1" t="s">
        <v>64</v>
      </c>
      <c r="E41" s="19">
        <f t="shared" si="0"/>
        <v>10.1</v>
      </c>
      <c r="F41" s="19">
        <v>10.1</v>
      </c>
      <c r="G41" s="19">
        <f>10-0.1</f>
        <v>9.9</v>
      </c>
      <c r="H41" s="19"/>
      <c r="I41" s="45"/>
      <c r="J41" s="45"/>
      <c r="K41" s="45"/>
      <c r="L41" s="45"/>
    </row>
    <row r="42" spans="1:12" x14ac:dyDescent="0.25">
      <c r="A42" s="12">
        <v>30</v>
      </c>
      <c r="B42" s="1"/>
      <c r="C42" s="15" t="s">
        <v>146</v>
      </c>
      <c r="D42" s="1" t="s">
        <v>65</v>
      </c>
      <c r="E42" s="19">
        <f t="shared" si="0"/>
        <v>10.1</v>
      </c>
      <c r="F42" s="19">
        <v>10.1</v>
      </c>
      <c r="G42" s="19">
        <f>10-0.1</f>
        <v>9.9</v>
      </c>
      <c r="H42" s="19"/>
      <c r="I42" s="45"/>
      <c r="J42" s="45"/>
      <c r="K42" s="45"/>
      <c r="L42" s="45"/>
    </row>
    <row r="43" spans="1:12" x14ac:dyDescent="0.25">
      <c r="A43" s="12">
        <v>31</v>
      </c>
      <c r="B43" s="1"/>
      <c r="C43" s="15" t="s">
        <v>44</v>
      </c>
      <c r="D43" s="1" t="s">
        <v>65</v>
      </c>
      <c r="E43" s="19">
        <f t="shared" si="0"/>
        <v>5.0999999999999996</v>
      </c>
      <c r="F43" s="19">
        <v>5.0999999999999996</v>
      </c>
      <c r="G43" s="19">
        <v>5</v>
      </c>
      <c r="H43" s="19"/>
      <c r="I43" s="45"/>
      <c r="J43" s="45"/>
      <c r="K43" s="45"/>
      <c r="L43" s="45"/>
    </row>
    <row r="44" spans="1:12" x14ac:dyDescent="0.25">
      <c r="A44" s="12">
        <v>32</v>
      </c>
      <c r="B44" s="1"/>
      <c r="C44" s="23" t="s">
        <v>150</v>
      </c>
      <c r="D44" s="1" t="s">
        <v>65</v>
      </c>
      <c r="E44" s="19">
        <f t="shared" si="0"/>
        <v>5.0999999999999996</v>
      </c>
      <c r="F44" s="19">
        <v>5.0999999999999996</v>
      </c>
      <c r="G44" s="19">
        <v>5</v>
      </c>
      <c r="H44" s="19"/>
      <c r="I44" s="45"/>
      <c r="J44" s="45"/>
      <c r="K44" s="45"/>
      <c r="L44" s="45"/>
    </row>
    <row r="45" spans="1:12" ht="26.4" x14ac:dyDescent="0.25">
      <c r="A45" s="12">
        <v>33</v>
      </c>
      <c r="B45" s="1"/>
      <c r="C45" s="15" t="s">
        <v>198</v>
      </c>
      <c r="D45" s="1" t="s">
        <v>66</v>
      </c>
      <c r="E45" s="19">
        <f t="shared" si="0"/>
        <v>5.0999999999999996</v>
      </c>
      <c r="F45" s="19">
        <v>5.0999999999999996</v>
      </c>
      <c r="G45" s="19">
        <v>5</v>
      </c>
      <c r="H45" s="19"/>
      <c r="I45" s="45"/>
      <c r="J45" s="45"/>
      <c r="K45" s="45"/>
      <c r="L45" s="45"/>
    </row>
    <row r="46" spans="1:12" x14ac:dyDescent="0.25">
      <c r="A46" s="12">
        <v>34</v>
      </c>
      <c r="B46" s="1"/>
      <c r="C46" s="15" t="s">
        <v>129</v>
      </c>
      <c r="D46" s="14" t="s">
        <v>286</v>
      </c>
      <c r="E46" s="19">
        <f t="shared" si="0"/>
        <v>10.1</v>
      </c>
      <c r="F46" s="19">
        <v>10.1</v>
      </c>
      <c r="G46" s="19">
        <v>10</v>
      </c>
      <c r="H46" s="19"/>
      <c r="I46" s="45"/>
      <c r="J46" s="45"/>
      <c r="K46" s="45"/>
      <c r="L46" s="45"/>
    </row>
    <row r="47" spans="1:12" x14ac:dyDescent="0.25">
      <c r="A47" s="12">
        <v>35</v>
      </c>
      <c r="B47" s="1"/>
      <c r="C47" s="15" t="s">
        <v>148</v>
      </c>
      <c r="D47" s="1" t="s">
        <v>66</v>
      </c>
      <c r="E47" s="19">
        <f t="shared" si="0"/>
        <v>10.1</v>
      </c>
      <c r="F47" s="19">
        <v>10.1</v>
      </c>
      <c r="G47" s="19">
        <v>10</v>
      </c>
      <c r="H47" s="19"/>
      <c r="I47" s="45"/>
      <c r="J47" s="45"/>
      <c r="K47" s="45"/>
      <c r="L47" s="45"/>
    </row>
    <row r="48" spans="1:12" ht="26.4" x14ac:dyDescent="0.25">
      <c r="A48" s="12">
        <v>36</v>
      </c>
      <c r="B48" s="1"/>
      <c r="C48" s="15" t="s">
        <v>46</v>
      </c>
      <c r="D48" s="1" t="s">
        <v>66</v>
      </c>
      <c r="E48" s="19">
        <f t="shared" si="0"/>
        <v>5.0999999999999996</v>
      </c>
      <c r="F48" s="19">
        <v>5.0999999999999996</v>
      </c>
      <c r="G48" s="19">
        <f>5-0.3</f>
        <v>4.7</v>
      </c>
      <c r="H48" s="19"/>
      <c r="I48" s="45"/>
      <c r="J48" s="45"/>
      <c r="K48" s="45"/>
      <c r="L48" s="45"/>
    </row>
    <row r="49" spans="1:12" x14ac:dyDescent="0.25">
      <c r="A49" s="12">
        <v>37</v>
      </c>
      <c r="B49" s="1"/>
      <c r="C49" s="15" t="s">
        <v>149</v>
      </c>
      <c r="D49" s="1" t="s">
        <v>66</v>
      </c>
      <c r="E49" s="19">
        <f t="shared" si="0"/>
        <v>5.0999999999999996</v>
      </c>
      <c r="F49" s="19">
        <v>5.0999999999999996</v>
      </c>
      <c r="G49" s="19">
        <v>5</v>
      </c>
      <c r="H49" s="19"/>
      <c r="I49" s="45"/>
      <c r="J49" s="45"/>
      <c r="K49" s="45"/>
      <c r="L49" s="45"/>
    </row>
    <row r="50" spans="1:12" ht="52.8" x14ac:dyDescent="0.25">
      <c r="A50" s="12">
        <v>38</v>
      </c>
      <c r="B50" s="1" t="s">
        <v>602</v>
      </c>
      <c r="C50" s="109" t="s">
        <v>613</v>
      </c>
      <c r="D50" s="1"/>
      <c r="E50" s="42">
        <f t="shared" si="0"/>
        <v>5.0000000000000009</v>
      </c>
      <c r="F50" s="42">
        <f>SUM(F51:F56)</f>
        <v>5.0000000000000009</v>
      </c>
      <c r="G50" s="42">
        <f>SUM(G51:G56)</f>
        <v>5.0000000000000009</v>
      </c>
      <c r="H50" s="42">
        <f>SUM(H51:H56)</f>
        <v>0</v>
      </c>
      <c r="I50" s="45"/>
      <c r="J50" s="45"/>
      <c r="K50" s="45"/>
      <c r="L50" s="45"/>
    </row>
    <row r="51" spans="1:12" x14ac:dyDescent="0.25">
      <c r="A51" s="12">
        <v>39</v>
      </c>
      <c r="B51" s="1"/>
      <c r="C51" s="23" t="s">
        <v>200</v>
      </c>
      <c r="D51" s="1" t="s">
        <v>65</v>
      </c>
      <c r="E51" s="19">
        <f t="shared" si="0"/>
        <v>1.7</v>
      </c>
      <c r="F51" s="19">
        <v>1.7</v>
      </c>
      <c r="G51" s="19">
        <v>1.7</v>
      </c>
      <c r="H51" s="19"/>
      <c r="I51" s="45"/>
      <c r="J51" s="45"/>
      <c r="K51" s="45"/>
      <c r="L51" s="45"/>
    </row>
    <row r="52" spans="1:12" ht="26.4" x14ac:dyDescent="0.25">
      <c r="A52" s="12">
        <v>40</v>
      </c>
      <c r="B52" s="1"/>
      <c r="C52" s="23" t="s">
        <v>50</v>
      </c>
      <c r="D52" s="14" t="s">
        <v>128</v>
      </c>
      <c r="E52" s="19">
        <f t="shared" si="0"/>
        <v>2</v>
      </c>
      <c r="F52" s="19">
        <v>2</v>
      </c>
      <c r="G52" s="19">
        <v>2</v>
      </c>
      <c r="H52" s="19"/>
      <c r="I52" s="45"/>
      <c r="J52" s="45"/>
      <c r="K52" s="45"/>
      <c r="L52" s="45"/>
    </row>
    <row r="53" spans="1:12" x14ac:dyDescent="0.25">
      <c r="A53" s="12">
        <v>41</v>
      </c>
      <c r="B53" s="1"/>
      <c r="C53" s="15" t="s">
        <v>146</v>
      </c>
      <c r="D53" s="1" t="s">
        <v>65</v>
      </c>
      <c r="E53" s="19">
        <f t="shared" si="0"/>
        <v>0.4</v>
      </c>
      <c r="F53" s="19">
        <v>0.4</v>
      </c>
      <c r="G53" s="19">
        <v>0.4</v>
      </c>
      <c r="H53" s="19"/>
      <c r="I53" s="45"/>
      <c r="J53" s="45"/>
      <c r="K53" s="45"/>
      <c r="L53" s="45"/>
    </row>
    <row r="54" spans="1:12" x14ac:dyDescent="0.25">
      <c r="A54" s="12">
        <v>42</v>
      </c>
      <c r="B54" s="1"/>
      <c r="C54" s="15" t="s">
        <v>147</v>
      </c>
      <c r="D54" s="1" t="s">
        <v>65</v>
      </c>
      <c r="E54" s="19">
        <f t="shared" si="0"/>
        <v>0.4</v>
      </c>
      <c r="F54" s="19">
        <v>0.4</v>
      </c>
      <c r="G54" s="19">
        <v>0.4</v>
      </c>
      <c r="H54" s="19"/>
      <c r="I54" s="45"/>
      <c r="J54" s="45"/>
      <c r="K54" s="45"/>
      <c r="L54" s="45"/>
    </row>
    <row r="55" spans="1:12" x14ac:dyDescent="0.25">
      <c r="A55" s="12">
        <v>43</v>
      </c>
      <c r="B55" s="1"/>
      <c r="C55" s="15" t="s">
        <v>44</v>
      </c>
      <c r="D55" s="1" t="s">
        <v>65</v>
      </c>
      <c r="E55" s="19">
        <f t="shared" si="0"/>
        <v>0.3</v>
      </c>
      <c r="F55" s="19">
        <v>0.3</v>
      </c>
      <c r="G55" s="19">
        <v>0.3</v>
      </c>
      <c r="H55" s="19"/>
      <c r="I55" s="45"/>
      <c r="J55" s="45"/>
      <c r="K55" s="45"/>
      <c r="L55" s="45"/>
    </row>
    <row r="56" spans="1:12" x14ac:dyDescent="0.25">
      <c r="A56" s="12">
        <v>44</v>
      </c>
      <c r="B56" s="1"/>
      <c r="C56" s="23" t="s">
        <v>150</v>
      </c>
      <c r="D56" s="1" t="s">
        <v>65</v>
      </c>
      <c r="E56" s="19">
        <f t="shared" si="0"/>
        <v>0.2</v>
      </c>
      <c r="F56" s="19">
        <v>0.2</v>
      </c>
      <c r="G56" s="19">
        <v>0.2</v>
      </c>
      <c r="H56" s="19"/>
      <c r="I56" s="45"/>
      <c r="J56" s="45"/>
      <c r="K56" s="45"/>
      <c r="L56" s="45"/>
    </row>
    <row r="57" spans="1:12" ht="39.6" x14ac:dyDescent="0.25">
      <c r="A57" s="12">
        <v>45</v>
      </c>
      <c r="B57" s="1" t="s">
        <v>615</v>
      </c>
      <c r="C57" s="109" t="s">
        <v>748</v>
      </c>
      <c r="D57" s="1"/>
      <c r="E57" s="19">
        <f t="shared" si="0"/>
        <v>17.8</v>
      </c>
      <c r="F57" s="19">
        <f>+F58+F59+F60+F61+F62+F63+F64+F65</f>
        <v>17.8</v>
      </c>
      <c r="G57" s="19">
        <f>+G58+G59+G60+G61+G62+G63+G64+G65</f>
        <v>0</v>
      </c>
      <c r="H57" s="19">
        <f>+H58+H59+H60+H61+H62+H63+H64+H65</f>
        <v>0</v>
      </c>
      <c r="I57" s="45"/>
      <c r="J57" s="45"/>
      <c r="K57" s="45"/>
      <c r="L57" s="45"/>
    </row>
    <row r="58" spans="1:12" x14ac:dyDescent="0.25">
      <c r="A58" s="12">
        <v>46</v>
      </c>
      <c r="B58" s="1"/>
      <c r="C58" s="23" t="s">
        <v>197</v>
      </c>
      <c r="D58" s="1" t="s">
        <v>63</v>
      </c>
      <c r="E58" s="19">
        <f t="shared" si="0"/>
        <v>2</v>
      </c>
      <c r="F58" s="19">
        <v>2</v>
      </c>
      <c r="G58" s="19"/>
      <c r="H58" s="19"/>
      <c r="I58" s="45"/>
      <c r="J58" s="45"/>
      <c r="K58" s="45"/>
      <c r="L58" s="45"/>
    </row>
    <row r="59" spans="1:12" x14ac:dyDescent="0.25">
      <c r="A59" s="12">
        <v>47</v>
      </c>
      <c r="B59" s="1"/>
      <c r="C59" s="23" t="s">
        <v>194</v>
      </c>
      <c r="D59" s="1" t="s">
        <v>63</v>
      </c>
      <c r="E59" s="19">
        <f t="shared" si="0"/>
        <v>1.8</v>
      </c>
      <c r="F59" s="19">
        <v>1.8</v>
      </c>
      <c r="G59" s="19"/>
      <c r="H59" s="19"/>
      <c r="I59" s="45"/>
      <c r="J59" s="45"/>
      <c r="K59" s="45"/>
      <c r="L59" s="45"/>
    </row>
    <row r="60" spans="1:12" x14ac:dyDescent="0.25">
      <c r="A60" s="12">
        <v>48</v>
      </c>
      <c r="B60" s="1"/>
      <c r="C60" s="23" t="s">
        <v>195</v>
      </c>
      <c r="D60" s="1" t="s">
        <v>63</v>
      </c>
      <c r="E60" s="19">
        <f t="shared" si="0"/>
        <v>3.3</v>
      </c>
      <c r="F60" s="19">
        <v>3.3</v>
      </c>
      <c r="G60" s="19"/>
      <c r="H60" s="19"/>
      <c r="I60" s="45"/>
      <c r="J60" s="45"/>
      <c r="K60" s="45"/>
      <c r="L60" s="45"/>
    </row>
    <row r="61" spans="1:12" x14ac:dyDescent="0.25">
      <c r="A61" s="12">
        <v>49</v>
      </c>
      <c r="B61" s="1"/>
      <c r="C61" s="23" t="s">
        <v>196</v>
      </c>
      <c r="D61" s="1" t="s">
        <v>63</v>
      </c>
      <c r="E61" s="19">
        <f t="shared" si="0"/>
        <v>3.7</v>
      </c>
      <c r="F61" s="19">
        <v>3.7</v>
      </c>
      <c r="G61" s="19"/>
      <c r="H61" s="19"/>
      <c r="I61" s="45"/>
      <c r="J61" s="45"/>
      <c r="K61" s="45"/>
      <c r="L61" s="45"/>
    </row>
    <row r="62" spans="1:12" x14ac:dyDescent="0.25">
      <c r="A62" s="12">
        <v>50</v>
      </c>
      <c r="B62" s="1"/>
      <c r="C62" s="15" t="s">
        <v>250</v>
      </c>
      <c r="D62" s="1" t="s">
        <v>64</v>
      </c>
      <c r="E62" s="19">
        <f t="shared" si="0"/>
        <v>1.8</v>
      </c>
      <c r="F62" s="19">
        <v>1.8</v>
      </c>
      <c r="G62" s="19"/>
      <c r="H62" s="19"/>
      <c r="I62" s="45"/>
      <c r="J62" s="45"/>
      <c r="K62" s="45"/>
      <c r="L62" s="45"/>
    </row>
    <row r="63" spans="1:12" x14ac:dyDescent="0.25">
      <c r="A63" s="12">
        <v>51</v>
      </c>
      <c r="B63" s="1"/>
      <c r="C63" s="15" t="s">
        <v>146</v>
      </c>
      <c r="D63" s="1" t="s">
        <v>65</v>
      </c>
      <c r="E63" s="19">
        <f t="shared" si="0"/>
        <v>1.2</v>
      </c>
      <c r="F63" s="19">
        <v>1.2</v>
      </c>
      <c r="G63" s="19"/>
      <c r="H63" s="19"/>
      <c r="I63" s="45"/>
      <c r="J63" s="45"/>
      <c r="K63" s="45"/>
      <c r="L63" s="45"/>
    </row>
    <row r="64" spans="1:12" x14ac:dyDescent="0.25">
      <c r="A64" s="12">
        <v>52</v>
      </c>
      <c r="B64" s="1"/>
      <c r="C64" s="23" t="s">
        <v>199</v>
      </c>
      <c r="D64" s="14" t="s">
        <v>286</v>
      </c>
      <c r="E64" s="19">
        <f t="shared" si="0"/>
        <v>1.4</v>
      </c>
      <c r="F64" s="19">
        <v>1.4</v>
      </c>
      <c r="G64" s="19"/>
      <c r="H64" s="19"/>
      <c r="I64" s="45"/>
      <c r="J64" s="45"/>
      <c r="K64" s="45"/>
      <c r="L64" s="45"/>
    </row>
    <row r="65" spans="1:12" ht="26.4" x14ac:dyDescent="0.25">
      <c r="A65" s="12">
        <v>53</v>
      </c>
      <c r="B65" s="1"/>
      <c r="C65" s="15" t="s">
        <v>118</v>
      </c>
      <c r="D65" s="14" t="s">
        <v>385</v>
      </c>
      <c r="E65" s="19">
        <f t="shared" si="0"/>
        <v>2.6</v>
      </c>
      <c r="F65" s="19">
        <v>2.6</v>
      </c>
      <c r="G65" s="19"/>
      <c r="H65" s="19"/>
      <c r="I65" s="45"/>
      <c r="J65" s="45"/>
      <c r="K65" s="45"/>
      <c r="L65" s="45"/>
    </row>
    <row r="66" spans="1:12" ht="52.8" x14ac:dyDescent="0.25">
      <c r="A66" s="12">
        <v>54</v>
      </c>
      <c r="B66" s="1" t="s">
        <v>759</v>
      </c>
      <c r="C66" s="109" t="s">
        <v>788</v>
      </c>
      <c r="D66" s="14"/>
      <c r="E66" s="19">
        <f>+E67</f>
        <v>1.5</v>
      </c>
      <c r="F66" s="19">
        <f>+F67</f>
        <v>1.5</v>
      </c>
      <c r="G66" s="19">
        <f>+G67</f>
        <v>0</v>
      </c>
      <c r="H66" s="19">
        <f>+H67</f>
        <v>0</v>
      </c>
      <c r="I66" s="45"/>
      <c r="J66" s="45"/>
      <c r="K66" s="45"/>
      <c r="L66" s="45"/>
    </row>
    <row r="67" spans="1:12" x14ac:dyDescent="0.25">
      <c r="A67" s="12">
        <v>55</v>
      </c>
      <c r="B67" s="1"/>
      <c r="C67" s="23" t="s">
        <v>195</v>
      </c>
      <c r="D67" s="1" t="s">
        <v>63</v>
      </c>
      <c r="E67" s="19">
        <f>+F67+H67</f>
        <v>1.5</v>
      </c>
      <c r="F67" s="19">
        <v>1.5</v>
      </c>
      <c r="G67" s="19"/>
      <c r="H67" s="19"/>
      <c r="I67" s="45"/>
      <c r="J67" s="45"/>
      <c r="K67" s="45"/>
      <c r="L67" s="45"/>
    </row>
    <row r="68" spans="1:12" ht="39.6" x14ac:dyDescent="0.25">
      <c r="A68" s="12">
        <v>56</v>
      </c>
      <c r="B68" s="1" t="s">
        <v>781</v>
      </c>
      <c r="C68" s="109" t="s">
        <v>784</v>
      </c>
      <c r="D68" s="1"/>
      <c r="E68" s="19">
        <f>+F68+H68</f>
        <v>77.900000000000006</v>
      </c>
      <c r="F68" s="19">
        <f>SUM(F69:F85)</f>
        <v>77.900000000000006</v>
      </c>
      <c r="G68" s="19">
        <f>SUM(G69:G85)</f>
        <v>76.599999999999994</v>
      </c>
      <c r="H68" s="19">
        <f>SUM(H69:H85)</f>
        <v>0</v>
      </c>
      <c r="I68" s="45"/>
      <c r="J68" s="45"/>
      <c r="K68" s="45"/>
      <c r="L68" s="45"/>
    </row>
    <row r="69" spans="1:12" x14ac:dyDescent="0.25">
      <c r="A69" s="12">
        <v>57</v>
      </c>
      <c r="B69" s="1"/>
      <c r="C69" s="15" t="s">
        <v>250</v>
      </c>
      <c r="D69" s="1" t="s">
        <v>64</v>
      </c>
      <c r="E69" s="19">
        <f>+F69+H69</f>
        <v>1.3</v>
      </c>
      <c r="F69" s="19">
        <v>1.3</v>
      </c>
      <c r="G69" s="19">
        <v>1.3</v>
      </c>
      <c r="H69" s="19"/>
      <c r="I69" s="45"/>
      <c r="J69" s="45"/>
      <c r="K69" s="45"/>
      <c r="L69" s="45"/>
    </row>
    <row r="70" spans="1:12" x14ac:dyDescent="0.25">
      <c r="A70" s="12">
        <v>58</v>
      </c>
      <c r="B70" s="1"/>
      <c r="C70" s="23" t="s">
        <v>200</v>
      </c>
      <c r="D70" s="1" t="s">
        <v>65</v>
      </c>
      <c r="E70" s="19">
        <f t="shared" ref="E70:E92" si="1">+F70+H70</f>
        <v>7.6</v>
      </c>
      <c r="F70" s="19">
        <v>7.6</v>
      </c>
      <c r="G70" s="19">
        <v>7.4</v>
      </c>
      <c r="H70" s="19"/>
      <c r="I70" s="45"/>
      <c r="J70" s="45"/>
      <c r="K70" s="45"/>
      <c r="L70" s="45"/>
    </row>
    <row r="71" spans="1:12" x14ac:dyDescent="0.25">
      <c r="A71" s="12">
        <v>59</v>
      </c>
      <c r="B71" s="1"/>
      <c r="C71" s="23" t="s">
        <v>50</v>
      </c>
      <c r="D71" s="1" t="s">
        <v>65</v>
      </c>
      <c r="E71" s="19">
        <f t="shared" si="1"/>
        <v>7.3</v>
      </c>
      <c r="F71" s="19">
        <v>7.3</v>
      </c>
      <c r="G71" s="19">
        <v>7.2</v>
      </c>
      <c r="H71" s="19"/>
      <c r="I71" s="45"/>
      <c r="J71" s="45"/>
      <c r="K71" s="45"/>
      <c r="L71" s="45"/>
    </row>
    <row r="72" spans="1:12" x14ac:dyDescent="0.25">
      <c r="A72" s="12">
        <v>60</v>
      </c>
      <c r="B72" s="1"/>
      <c r="C72" s="15" t="s">
        <v>146</v>
      </c>
      <c r="D72" s="1" t="s">
        <v>65</v>
      </c>
      <c r="E72" s="19">
        <f t="shared" si="1"/>
        <v>4.4000000000000004</v>
      </c>
      <c r="F72" s="19">
        <v>4.4000000000000004</v>
      </c>
      <c r="G72" s="19">
        <v>4.3</v>
      </c>
      <c r="H72" s="19"/>
      <c r="I72" s="45"/>
      <c r="J72" s="45"/>
      <c r="K72" s="45"/>
      <c r="L72" s="45"/>
    </row>
    <row r="73" spans="1:12" x14ac:dyDescent="0.25">
      <c r="A73" s="12">
        <v>61</v>
      </c>
      <c r="B73" s="1"/>
      <c r="C73" s="15" t="s">
        <v>147</v>
      </c>
      <c r="D73" s="1" t="s">
        <v>65</v>
      </c>
      <c r="E73" s="19">
        <f t="shared" si="1"/>
        <v>4.5</v>
      </c>
      <c r="F73" s="19">
        <v>4.5</v>
      </c>
      <c r="G73" s="19">
        <v>4.4000000000000004</v>
      </c>
      <c r="H73" s="19"/>
      <c r="I73" s="45"/>
      <c r="J73" s="45"/>
      <c r="K73" s="45"/>
      <c r="L73" s="45"/>
    </row>
    <row r="74" spans="1:12" x14ac:dyDescent="0.25">
      <c r="A74" s="12">
        <v>62</v>
      </c>
      <c r="B74" s="1"/>
      <c r="C74" s="15" t="s">
        <v>44</v>
      </c>
      <c r="D74" s="1" t="s">
        <v>65</v>
      </c>
      <c r="E74" s="19">
        <f t="shared" si="1"/>
        <v>3.7</v>
      </c>
      <c r="F74" s="19">
        <v>3.7</v>
      </c>
      <c r="G74" s="19">
        <v>3.6</v>
      </c>
      <c r="H74" s="19"/>
      <c r="I74" s="45"/>
      <c r="J74" s="45"/>
      <c r="K74" s="45"/>
      <c r="L74" s="45"/>
    </row>
    <row r="75" spans="1:12" x14ac:dyDescent="0.25">
      <c r="A75" s="12">
        <v>63</v>
      </c>
      <c r="B75" s="1"/>
      <c r="C75" s="23" t="s">
        <v>150</v>
      </c>
      <c r="D75" s="1" t="s">
        <v>65</v>
      </c>
      <c r="E75" s="19">
        <f t="shared" si="1"/>
        <v>3.6</v>
      </c>
      <c r="F75" s="19">
        <v>3.6</v>
      </c>
      <c r="G75" s="19">
        <v>3.6</v>
      </c>
      <c r="H75" s="19"/>
      <c r="I75" s="45"/>
      <c r="J75" s="45"/>
      <c r="K75" s="45"/>
      <c r="L75" s="45"/>
    </row>
    <row r="76" spans="1:12" ht="26.4" x14ac:dyDescent="0.25">
      <c r="A76" s="12">
        <v>64</v>
      </c>
      <c r="B76" s="1"/>
      <c r="C76" s="15" t="s">
        <v>198</v>
      </c>
      <c r="D76" s="1" t="s">
        <v>66</v>
      </c>
      <c r="E76" s="19">
        <f t="shared" si="1"/>
        <v>12.6</v>
      </c>
      <c r="F76" s="19">
        <v>12.6</v>
      </c>
      <c r="G76" s="19">
        <v>12.4</v>
      </c>
      <c r="H76" s="19"/>
      <c r="I76" s="45"/>
      <c r="J76" s="45"/>
      <c r="K76" s="45"/>
      <c r="L76" s="45"/>
    </row>
    <row r="77" spans="1:12" x14ac:dyDescent="0.25">
      <c r="A77" s="12">
        <v>65</v>
      </c>
      <c r="B77" s="1"/>
      <c r="C77" s="23" t="s">
        <v>199</v>
      </c>
      <c r="D77" s="14" t="s">
        <v>286</v>
      </c>
      <c r="E77" s="19">
        <f t="shared" si="1"/>
        <v>13.7</v>
      </c>
      <c r="F77" s="19">
        <v>13.7</v>
      </c>
      <c r="G77" s="19">
        <v>13.5</v>
      </c>
      <c r="H77" s="19"/>
      <c r="I77" s="45"/>
      <c r="J77" s="45"/>
      <c r="K77" s="45"/>
      <c r="L77" s="45"/>
    </row>
    <row r="78" spans="1:12" x14ac:dyDescent="0.25">
      <c r="A78" s="12">
        <v>66</v>
      </c>
      <c r="B78" s="1"/>
      <c r="C78" s="15" t="s">
        <v>129</v>
      </c>
      <c r="D78" s="14" t="s">
        <v>286</v>
      </c>
      <c r="E78" s="19">
        <f t="shared" si="1"/>
        <v>8.1999999999999993</v>
      </c>
      <c r="F78" s="19">
        <v>8.1999999999999993</v>
      </c>
      <c r="G78" s="19">
        <v>8.1</v>
      </c>
      <c r="H78" s="19"/>
      <c r="I78" s="45"/>
      <c r="J78" s="45"/>
      <c r="K78" s="45"/>
      <c r="L78" s="45"/>
    </row>
    <row r="79" spans="1:12" x14ac:dyDescent="0.25">
      <c r="A79" s="12">
        <v>67</v>
      </c>
      <c r="B79" s="1"/>
      <c r="C79" s="15" t="s">
        <v>45</v>
      </c>
      <c r="D79" s="1" t="s">
        <v>66</v>
      </c>
      <c r="E79" s="19">
        <f t="shared" si="1"/>
        <v>1.4</v>
      </c>
      <c r="F79" s="19">
        <v>1.4</v>
      </c>
      <c r="G79" s="19">
        <v>1.4</v>
      </c>
      <c r="H79" s="19"/>
      <c r="I79" s="45"/>
      <c r="J79" s="45"/>
      <c r="K79" s="45"/>
      <c r="L79" s="45"/>
    </row>
    <row r="80" spans="1:12" x14ac:dyDescent="0.25">
      <c r="A80" s="12">
        <v>68</v>
      </c>
      <c r="B80" s="1"/>
      <c r="C80" s="15" t="s">
        <v>148</v>
      </c>
      <c r="D80" s="1" t="s">
        <v>66</v>
      </c>
      <c r="E80" s="19">
        <f t="shared" si="1"/>
        <v>2.2999999999999998</v>
      </c>
      <c r="F80" s="19">
        <v>2.2999999999999998</v>
      </c>
      <c r="G80" s="19">
        <v>2.2999999999999998</v>
      </c>
      <c r="H80" s="19"/>
      <c r="I80" s="45"/>
      <c r="J80" s="45"/>
      <c r="K80" s="45"/>
      <c r="L80" s="45"/>
    </row>
    <row r="81" spans="1:12" x14ac:dyDescent="0.25">
      <c r="A81" s="12">
        <v>69</v>
      </c>
      <c r="B81" s="1"/>
      <c r="C81" s="15" t="s">
        <v>281</v>
      </c>
      <c r="D81" s="1" t="s">
        <v>66</v>
      </c>
      <c r="E81" s="19">
        <f t="shared" si="1"/>
        <v>1.1000000000000001</v>
      </c>
      <c r="F81" s="19">
        <v>1.1000000000000001</v>
      </c>
      <c r="G81" s="19">
        <v>1.1000000000000001</v>
      </c>
      <c r="H81" s="19"/>
      <c r="I81" s="45"/>
      <c r="J81" s="45"/>
      <c r="K81" s="45"/>
      <c r="L81" s="45"/>
    </row>
    <row r="82" spans="1:12" ht="26.4" x14ac:dyDescent="0.25">
      <c r="A82" s="12">
        <v>70</v>
      </c>
      <c r="B82" s="1"/>
      <c r="C82" s="15" t="s">
        <v>46</v>
      </c>
      <c r="D82" s="1" t="s">
        <v>66</v>
      </c>
      <c r="E82" s="19">
        <f t="shared" si="1"/>
        <v>1.5</v>
      </c>
      <c r="F82" s="19">
        <v>1.5</v>
      </c>
      <c r="G82" s="19">
        <v>1.4</v>
      </c>
      <c r="H82" s="19"/>
      <c r="I82" s="45"/>
      <c r="J82" s="45"/>
      <c r="K82" s="45"/>
      <c r="L82" s="45"/>
    </row>
    <row r="83" spans="1:12" x14ac:dyDescent="0.25">
      <c r="A83" s="12">
        <v>71</v>
      </c>
      <c r="B83" s="1"/>
      <c r="C83" s="15" t="s">
        <v>149</v>
      </c>
      <c r="D83" s="1" t="s">
        <v>66</v>
      </c>
      <c r="E83" s="19">
        <f t="shared" si="1"/>
        <v>1</v>
      </c>
      <c r="F83" s="19">
        <v>1</v>
      </c>
      <c r="G83" s="19">
        <v>1</v>
      </c>
      <c r="H83" s="19"/>
      <c r="I83" s="45"/>
      <c r="J83" s="45"/>
      <c r="K83" s="45"/>
      <c r="L83" s="45"/>
    </row>
    <row r="84" spans="1:12" ht="26.4" x14ac:dyDescent="0.25">
      <c r="A84" s="12">
        <v>72</v>
      </c>
      <c r="B84" s="1"/>
      <c r="C84" s="15" t="s">
        <v>118</v>
      </c>
      <c r="D84" s="14" t="s">
        <v>385</v>
      </c>
      <c r="E84" s="19">
        <f t="shared" si="1"/>
        <v>2.4</v>
      </c>
      <c r="F84" s="19">
        <v>2.4</v>
      </c>
      <c r="G84" s="19">
        <v>2.2999999999999998</v>
      </c>
      <c r="H84" s="19"/>
      <c r="I84" s="45"/>
      <c r="J84" s="45"/>
      <c r="K84" s="45"/>
      <c r="L84" s="45"/>
    </row>
    <row r="85" spans="1:12" x14ac:dyDescent="0.25">
      <c r="A85" s="12">
        <v>73</v>
      </c>
      <c r="B85" s="1"/>
      <c r="C85" s="21" t="s">
        <v>799</v>
      </c>
      <c r="D85" s="14" t="s">
        <v>66</v>
      </c>
      <c r="E85" s="19">
        <f t="shared" si="1"/>
        <v>1.3</v>
      </c>
      <c r="F85" s="19">
        <v>1.3</v>
      </c>
      <c r="G85" s="19">
        <v>1.3</v>
      </c>
      <c r="H85" s="19"/>
      <c r="I85" s="45"/>
      <c r="J85" s="45"/>
      <c r="K85" s="45"/>
      <c r="L85" s="45"/>
    </row>
    <row r="86" spans="1:12" ht="26.4" x14ac:dyDescent="0.25">
      <c r="A86" s="12">
        <v>74</v>
      </c>
      <c r="B86" s="1" t="s">
        <v>785</v>
      </c>
      <c r="C86" s="150" t="s">
        <v>616</v>
      </c>
      <c r="D86" s="18"/>
      <c r="E86" s="42">
        <f t="shared" si="1"/>
        <v>535</v>
      </c>
      <c r="F86" s="42">
        <f t="shared" ref="F86:H87" si="2">+F87</f>
        <v>0</v>
      </c>
      <c r="G86" s="42">
        <f t="shared" si="2"/>
        <v>0</v>
      </c>
      <c r="H86" s="42">
        <f t="shared" si="2"/>
        <v>535</v>
      </c>
      <c r="I86" s="45"/>
      <c r="J86" s="45"/>
      <c r="K86" s="45"/>
      <c r="L86" s="45"/>
    </row>
    <row r="87" spans="1:12" x14ac:dyDescent="0.25">
      <c r="A87" s="12">
        <v>75</v>
      </c>
      <c r="B87" s="1"/>
      <c r="C87" s="15" t="s">
        <v>582</v>
      </c>
      <c r="D87" s="1" t="s">
        <v>65</v>
      </c>
      <c r="E87" s="19">
        <f t="shared" si="1"/>
        <v>535</v>
      </c>
      <c r="F87" s="19">
        <f t="shared" si="2"/>
        <v>0</v>
      </c>
      <c r="G87" s="19">
        <f t="shared" si="2"/>
        <v>0</v>
      </c>
      <c r="H87" s="19">
        <f t="shared" si="2"/>
        <v>535</v>
      </c>
      <c r="I87" s="45"/>
      <c r="J87" s="45"/>
      <c r="K87" s="45"/>
      <c r="L87" s="45"/>
    </row>
    <row r="88" spans="1:12" ht="26.4" x14ac:dyDescent="0.25">
      <c r="A88" s="12">
        <v>76</v>
      </c>
      <c r="B88" s="1"/>
      <c r="C88" s="137" t="s">
        <v>614</v>
      </c>
      <c r="D88" s="18"/>
      <c r="E88" s="19">
        <f t="shared" si="1"/>
        <v>535</v>
      </c>
      <c r="F88" s="19"/>
      <c r="G88" s="19"/>
      <c r="H88" s="19">
        <v>535</v>
      </c>
      <c r="I88" s="45"/>
      <c r="J88" s="45"/>
      <c r="K88" s="45"/>
      <c r="L88" s="45"/>
    </row>
    <row r="89" spans="1:12" x14ac:dyDescent="0.25">
      <c r="A89" s="12">
        <v>77</v>
      </c>
      <c r="B89" s="11" t="s">
        <v>70</v>
      </c>
      <c r="C89" s="17" t="s">
        <v>71</v>
      </c>
      <c r="D89" s="1"/>
      <c r="E89" s="108">
        <f t="shared" si="1"/>
        <v>756.60000000000014</v>
      </c>
      <c r="F89" s="108">
        <f t="shared" ref="F89:H90" si="3">+F90</f>
        <v>756.60000000000014</v>
      </c>
      <c r="G89" s="108">
        <f t="shared" si="3"/>
        <v>0</v>
      </c>
      <c r="H89" s="108">
        <f t="shared" si="3"/>
        <v>0</v>
      </c>
      <c r="I89" s="45"/>
      <c r="J89" s="45"/>
      <c r="K89" s="45"/>
      <c r="L89" s="45"/>
    </row>
    <row r="90" spans="1:12" ht="39.6" x14ac:dyDescent="0.25">
      <c r="A90" s="12">
        <v>78</v>
      </c>
      <c r="B90" s="1"/>
      <c r="C90" s="156" t="s">
        <v>612</v>
      </c>
      <c r="D90" s="1"/>
      <c r="E90" s="42">
        <f t="shared" si="1"/>
        <v>756.60000000000014</v>
      </c>
      <c r="F90" s="42">
        <f t="shared" si="3"/>
        <v>756.60000000000014</v>
      </c>
      <c r="G90" s="42">
        <f t="shared" si="3"/>
        <v>0</v>
      </c>
      <c r="H90" s="42">
        <f t="shared" si="3"/>
        <v>0</v>
      </c>
      <c r="I90" s="45"/>
      <c r="J90" s="45"/>
      <c r="K90" s="45"/>
      <c r="L90" s="45"/>
    </row>
    <row r="91" spans="1:12" x14ac:dyDescent="0.25">
      <c r="A91" s="12">
        <v>79</v>
      </c>
      <c r="B91" s="1"/>
      <c r="C91" s="43" t="s">
        <v>3</v>
      </c>
      <c r="D91" s="1" t="s">
        <v>75</v>
      </c>
      <c r="E91" s="19">
        <f t="shared" si="1"/>
        <v>756.60000000000014</v>
      </c>
      <c r="F91" s="19">
        <f>10.6+64.7+12+18.1+76.2+64.9+78.4+6.1+119.5+4.7+39.1+262.3</f>
        <v>756.60000000000014</v>
      </c>
      <c r="G91" s="19"/>
      <c r="H91" s="19"/>
      <c r="I91" s="45"/>
      <c r="J91" s="45"/>
      <c r="K91" s="45"/>
      <c r="L91" s="45"/>
    </row>
    <row r="92" spans="1:12" ht="18" customHeight="1" x14ac:dyDescent="0.25">
      <c r="A92" s="12">
        <v>80</v>
      </c>
      <c r="B92" s="11" t="s">
        <v>22</v>
      </c>
      <c r="C92" s="17" t="s">
        <v>23</v>
      </c>
      <c r="D92" s="14"/>
      <c r="E92" s="108">
        <f t="shared" si="1"/>
        <v>201.6</v>
      </c>
      <c r="F92" s="108">
        <f>+F93+F97+F99</f>
        <v>201.6</v>
      </c>
      <c r="G92" s="108">
        <f>+G93+G97+G99</f>
        <v>82.399999999999991</v>
      </c>
      <c r="H92" s="108">
        <f>+H93+H97+H99</f>
        <v>0</v>
      </c>
      <c r="I92" s="45"/>
      <c r="J92" s="45"/>
      <c r="K92" s="45"/>
      <c r="L92" s="45"/>
    </row>
    <row r="93" spans="1:12" ht="39.6" x14ac:dyDescent="0.25">
      <c r="A93" s="12">
        <v>81</v>
      </c>
      <c r="B93" s="1" t="s">
        <v>299</v>
      </c>
      <c r="C93" s="150" t="s">
        <v>608</v>
      </c>
      <c r="D93" s="14"/>
      <c r="E93" s="42">
        <f t="shared" si="0"/>
        <v>7.9999999999999991</v>
      </c>
      <c r="F93" s="42">
        <f>+F94+F95+F96</f>
        <v>7.9999999999999991</v>
      </c>
      <c r="G93" s="42">
        <f>+G94+G95+G96</f>
        <v>7.7</v>
      </c>
      <c r="H93" s="42">
        <f>+H94+H95+H96</f>
        <v>0</v>
      </c>
      <c r="I93" s="45"/>
      <c r="J93" s="45"/>
      <c r="K93" s="45"/>
      <c r="L93" s="45"/>
    </row>
    <row r="94" spans="1:12" ht="39.6" x14ac:dyDescent="0.25">
      <c r="A94" s="12">
        <v>82</v>
      </c>
      <c r="B94" s="1"/>
      <c r="C94" s="16" t="s">
        <v>1</v>
      </c>
      <c r="D94" s="14" t="s">
        <v>76</v>
      </c>
      <c r="E94" s="19">
        <f t="shared" si="0"/>
        <v>4.1999999999999993</v>
      </c>
      <c r="F94" s="19">
        <f>12.6-8.4</f>
        <v>4.1999999999999993</v>
      </c>
      <c r="G94" s="19">
        <f>12.4-8.4</f>
        <v>4</v>
      </c>
      <c r="H94" s="19"/>
      <c r="I94" s="45"/>
      <c r="J94" s="45"/>
      <c r="K94" s="45"/>
      <c r="L94" s="45"/>
    </row>
    <row r="95" spans="1:12" x14ac:dyDescent="0.25">
      <c r="A95" s="12">
        <v>83</v>
      </c>
      <c r="B95" s="1"/>
      <c r="C95" s="104" t="s">
        <v>2</v>
      </c>
      <c r="D95" s="111" t="s">
        <v>77</v>
      </c>
      <c r="E95" s="19">
        <f t="shared" si="0"/>
        <v>2.8</v>
      </c>
      <c r="F95" s="19">
        <f>4.3-1.5</f>
        <v>2.8</v>
      </c>
      <c r="G95" s="19">
        <f>4.2-1.5</f>
        <v>2.7</v>
      </c>
      <c r="H95" s="19"/>
      <c r="I95" s="45"/>
      <c r="J95" s="45"/>
      <c r="K95" s="45"/>
      <c r="L95" s="45"/>
    </row>
    <row r="96" spans="1:12" x14ac:dyDescent="0.25">
      <c r="A96" s="12">
        <v>84</v>
      </c>
      <c r="B96" s="1"/>
      <c r="C96" s="104" t="s">
        <v>173</v>
      </c>
      <c r="D96" s="14" t="s">
        <v>24</v>
      </c>
      <c r="E96" s="19">
        <f t="shared" si="0"/>
        <v>1.0000000000000002</v>
      </c>
      <c r="F96" s="19">
        <f>2.2-1.2</f>
        <v>1.0000000000000002</v>
      </c>
      <c r="G96" s="19">
        <f>2.2-1.2</f>
        <v>1.0000000000000002</v>
      </c>
      <c r="H96" s="19"/>
      <c r="I96" s="45"/>
      <c r="J96" s="45"/>
      <c r="K96" s="45"/>
      <c r="L96" s="45"/>
    </row>
    <row r="97" spans="1:12" ht="26.4" x14ac:dyDescent="0.25">
      <c r="A97" s="12">
        <v>85</v>
      </c>
      <c r="B97" s="1" t="s">
        <v>302</v>
      </c>
      <c r="C97" s="150" t="s">
        <v>609</v>
      </c>
      <c r="D97" s="14"/>
      <c r="E97" s="42">
        <f t="shared" si="0"/>
        <v>122.5</v>
      </c>
      <c r="F97" s="42">
        <f>+F98</f>
        <v>122.5</v>
      </c>
      <c r="G97" s="42">
        <f>+G98</f>
        <v>4.6000000000000005</v>
      </c>
      <c r="H97" s="42"/>
      <c r="I97" s="45"/>
      <c r="J97" s="45"/>
      <c r="K97" s="45"/>
      <c r="L97" s="45"/>
    </row>
    <row r="98" spans="1:12" x14ac:dyDescent="0.25">
      <c r="A98" s="12">
        <v>86</v>
      </c>
      <c r="B98" s="1"/>
      <c r="C98" s="43" t="s">
        <v>3</v>
      </c>
      <c r="D98" s="14" t="s">
        <v>24</v>
      </c>
      <c r="E98" s="19">
        <f t="shared" si="0"/>
        <v>122.5</v>
      </c>
      <c r="F98" s="19">
        <f>112.3+10.2</f>
        <v>122.5</v>
      </c>
      <c r="G98" s="19">
        <f>4.2+0.5-0.1</f>
        <v>4.6000000000000005</v>
      </c>
      <c r="H98" s="19"/>
      <c r="I98" s="45"/>
      <c r="J98" s="45"/>
      <c r="K98" s="45"/>
      <c r="L98" s="45"/>
    </row>
    <row r="99" spans="1:12" ht="66" x14ac:dyDescent="0.25">
      <c r="A99" s="12">
        <v>87</v>
      </c>
      <c r="B99" s="1" t="s">
        <v>304</v>
      </c>
      <c r="C99" s="152" t="s">
        <v>770</v>
      </c>
      <c r="D99" s="14"/>
      <c r="E99" s="19">
        <f t="shared" si="0"/>
        <v>71.099999999999994</v>
      </c>
      <c r="F99" s="19">
        <f>SUM(F100:F104)</f>
        <v>71.099999999999994</v>
      </c>
      <c r="G99" s="19">
        <f>SUM(G100:G104)</f>
        <v>70.099999999999994</v>
      </c>
      <c r="H99" s="19">
        <f>SUM(H100:H104)</f>
        <v>0</v>
      </c>
      <c r="I99" s="45"/>
      <c r="J99" s="45"/>
      <c r="K99" s="45"/>
      <c r="L99" s="45"/>
    </row>
    <row r="100" spans="1:12" ht="39.6" x14ac:dyDescent="0.25">
      <c r="A100" s="12">
        <v>88</v>
      </c>
      <c r="B100" s="1"/>
      <c r="C100" s="23" t="s">
        <v>1</v>
      </c>
      <c r="D100" s="14" t="s">
        <v>76</v>
      </c>
      <c r="E100" s="19">
        <f t="shared" si="0"/>
        <v>20.3</v>
      </c>
      <c r="F100" s="19">
        <v>20.3</v>
      </c>
      <c r="G100" s="19">
        <v>20</v>
      </c>
      <c r="H100" s="19"/>
      <c r="I100" s="45"/>
      <c r="J100" s="45"/>
      <c r="K100" s="45"/>
      <c r="L100" s="45"/>
    </row>
    <row r="101" spans="1:12" x14ac:dyDescent="0.25">
      <c r="A101" s="12">
        <v>89</v>
      </c>
      <c r="B101" s="1"/>
      <c r="C101" s="110" t="s">
        <v>2</v>
      </c>
      <c r="D101" s="111" t="s">
        <v>77</v>
      </c>
      <c r="E101" s="19">
        <f t="shared" si="0"/>
        <v>7.9</v>
      </c>
      <c r="F101" s="19">
        <v>7.9</v>
      </c>
      <c r="G101" s="19">
        <v>7.8</v>
      </c>
      <c r="H101" s="19"/>
      <c r="I101" s="45"/>
      <c r="J101" s="45"/>
      <c r="K101" s="45"/>
      <c r="L101" s="45"/>
    </row>
    <row r="102" spans="1:12" x14ac:dyDescent="0.25">
      <c r="A102" s="12">
        <v>90</v>
      </c>
      <c r="B102" s="1"/>
      <c r="C102" s="100" t="s">
        <v>15</v>
      </c>
      <c r="D102" s="14" t="s">
        <v>110</v>
      </c>
      <c r="E102" s="19">
        <f t="shared" si="0"/>
        <v>8</v>
      </c>
      <c r="F102" s="19">
        <v>8</v>
      </c>
      <c r="G102" s="19">
        <v>7.9</v>
      </c>
      <c r="H102" s="19"/>
      <c r="I102" s="45"/>
      <c r="J102" s="45"/>
      <c r="K102" s="45"/>
      <c r="L102" s="45"/>
    </row>
    <row r="103" spans="1:12" x14ac:dyDescent="0.25">
      <c r="A103" s="12">
        <v>91</v>
      </c>
      <c r="B103" s="1"/>
      <c r="C103" s="100" t="s">
        <v>20</v>
      </c>
      <c r="D103" s="22" t="s">
        <v>77</v>
      </c>
      <c r="E103" s="19">
        <f t="shared" si="0"/>
        <v>7.4</v>
      </c>
      <c r="F103" s="19">
        <v>7.4</v>
      </c>
      <c r="G103" s="19">
        <v>7.3</v>
      </c>
      <c r="H103" s="19"/>
      <c r="I103" s="45"/>
      <c r="J103" s="45"/>
      <c r="K103" s="45"/>
      <c r="L103" s="45"/>
    </row>
    <row r="104" spans="1:12" x14ac:dyDescent="0.25">
      <c r="A104" s="12">
        <v>92</v>
      </c>
      <c r="B104" s="1"/>
      <c r="C104" s="23" t="s">
        <v>173</v>
      </c>
      <c r="D104" s="111" t="s">
        <v>24</v>
      </c>
      <c r="E104" s="19">
        <f t="shared" si="0"/>
        <v>27.5</v>
      </c>
      <c r="F104" s="19">
        <v>27.5</v>
      </c>
      <c r="G104" s="19">
        <v>27.1</v>
      </c>
      <c r="H104" s="19"/>
      <c r="I104" s="45"/>
      <c r="J104" s="45"/>
      <c r="K104" s="45"/>
      <c r="L104" s="45"/>
    </row>
    <row r="105" spans="1:12" x14ac:dyDescent="0.25">
      <c r="A105" s="12">
        <v>93</v>
      </c>
      <c r="B105" s="11" t="s">
        <v>82</v>
      </c>
      <c r="C105" s="17" t="s">
        <v>268</v>
      </c>
      <c r="D105" s="18"/>
      <c r="E105" s="19">
        <f t="shared" si="0"/>
        <v>611</v>
      </c>
      <c r="F105" s="19">
        <f t="shared" ref="F105:H107" si="4">+F106</f>
        <v>0</v>
      </c>
      <c r="G105" s="19">
        <f t="shared" si="4"/>
        <v>0</v>
      </c>
      <c r="H105" s="19">
        <f t="shared" si="4"/>
        <v>611</v>
      </c>
      <c r="I105" s="45"/>
      <c r="J105" s="45"/>
      <c r="K105" s="45"/>
      <c r="L105" s="45"/>
    </row>
    <row r="106" spans="1:12" ht="26.4" x14ac:dyDescent="0.25">
      <c r="A106" s="12">
        <v>94</v>
      </c>
      <c r="B106" s="1" t="s">
        <v>619</v>
      </c>
      <c r="C106" s="150" t="s">
        <v>616</v>
      </c>
      <c r="D106" s="18"/>
      <c r="E106" s="42">
        <f t="shared" si="0"/>
        <v>611</v>
      </c>
      <c r="F106" s="42">
        <f t="shared" si="4"/>
        <v>0</v>
      </c>
      <c r="G106" s="42">
        <f t="shared" si="4"/>
        <v>0</v>
      </c>
      <c r="H106" s="42">
        <f t="shared" si="4"/>
        <v>611</v>
      </c>
      <c r="I106" s="45"/>
      <c r="J106" s="45"/>
      <c r="K106" s="45"/>
      <c r="L106" s="45"/>
    </row>
    <row r="107" spans="1:12" x14ac:dyDescent="0.25">
      <c r="A107" s="12">
        <v>95</v>
      </c>
      <c r="B107" s="1"/>
      <c r="C107" s="15" t="s">
        <v>3</v>
      </c>
      <c r="D107" s="1" t="s">
        <v>83</v>
      </c>
      <c r="E107" s="19">
        <f t="shared" si="0"/>
        <v>611</v>
      </c>
      <c r="F107" s="19">
        <f t="shared" si="4"/>
        <v>0</v>
      </c>
      <c r="G107" s="19">
        <f t="shared" si="4"/>
        <v>0</v>
      </c>
      <c r="H107" s="19">
        <f t="shared" si="4"/>
        <v>611</v>
      </c>
      <c r="I107" s="45"/>
      <c r="J107" s="45"/>
      <c r="K107" s="45"/>
      <c r="L107" s="45"/>
    </row>
    <row r="108" spans="1:12" ht="26.4" x14ac:dyDescent="0.25">
      <c r="A108" s="12">
        <v>96</v>
      </c>
      <c r="B108" s="1"/>
      <c r="C108" s="137" t="s">
        <v>618</v>
      </c>
      <c r="D108" s="18"/>
      <c r="E108" s="19">
        <f t="shared" si="0"/>
        <v>611</v>
      </c>
      <c r="F108" s="19"/>
      <c r="G108" s="19"/>
      <c r="H108" s="19">
        <v>611</v>
      </c>
      <c r="I108" s="45"/>
      <c r="J108" s="45"/>
      <c r="K108" s="45"/>
      <c r="L108" s="45"/>
    </row>
    <row r="109" spans="1:12" x14ac:dyDescent="0.25">
      <c r="A109" s="12">
        <v>97</v>
      </c>
      <c r="B109" s="11" t="s">
        <v>84</v>
      </c>
      <c r="C109" s="17" t="s">
        <v>85</v>
      </c>
      <c r="D109" s="18"/>
      <c r="E109" s="93">
        <f t="shared" si="0"/>
        <v>1077.8</v>
      </c>
      <c r="F109" s="153">
        <f>+F110+F112+F123+F126</f>
        <v>120.79999999999998</v>
      </c>
      <c r="G109" s="153">
        <f>+G110+G112+G123+G126</f>
        <v>35.300000000000004</v>
      </c>
      <c r="H109" s="153">
        <f>+H110+H112+H123+H126</f>
        <v>957</v>
      </c>
      <c r="I109" s="45"/>
      <c r="J109" s="45"/>
      <c r="K109" s="45"/>
      <c r="L109" s="45"/>
    </row>
    <row r="110" spans="1:12" ht="26.4" x14ac:dyDescent="0.25">
      <c r="A110" s="12">
        <v>98</v>
      </c>
      <c r="B110" s="1" t="s">
        <v>591</v>
      </c>
      <c r="C110" s="150" t="s">
        <v>439</v>
      </c>
      <c r="D110" s="18"/>
      <c r="E110" s="19">
        <f t="shared" si="0"/>
        <v>52.8</v>
      </c>
      <c r="F110" s="19">
        <f>+F111</f>
        <v>52.8</v>
      </c>
      <c r="G110" s="19">
        <f>+G111</f>
        <v>0</v>
      </c>
      <c r="H110" s="19">
        <f>+H111</f>
        <v>0</v>
      </c>
      <c r="I110" s="45"/>
      <c r="J110" s="45"/>
      <c r="K110" s="45"/>
      <c r="L110" s="45"/>
    </row>
    <row r="111" spans="1:12" ht="26.4" x14ac:dyDescent="0.25">
      <c r="A111" s="12">
        <v>99</v>
      </c>
      <c r="B111" s="1"/>
      <c r="C111" s="15" t="s">
        <v>57</v>
      </c>
      <c r="D111" s="1" t="s">
        <v>87</v>
      </c>
      <c r="E111" s="19">
        <f t="shared" si="0"/>
        <v>52.8</v>
      </c>
      <c r="F111" s="19">
        <v>52.8</v>
      </c>
      <c r="G111" s="19"/>
      <c r="H111" s="19"/>
      <c r="I111" s="45"/>
      <c r="J111" s="45"/>
      <c r="K111" s="45"/>
      <c r="L111" s="45"/>
    </row>
    <row r="112" spans="1:12" ht="26.4" x14ac:dyDescent="0.25">
      <c r="A112" s="12">
        <v>100</v>
      </c>
      <c r="B112" s="1" t="s">
        <v>590</v>
      </c>
      <c r="C112" s="150" t="s">
        <v>388</v>
      </c>
      <c r="D112" s="18"/>
      <c r="E112" s="19">
        <f t="shared" si="0"/>
        <v>34.999999999999993</v>
      </c>
      <c r="F112" s="19">
        <f>SUM(F113:F122)</f>
        <v>34.999999999999993</v>
      </c>
      <c r="G112" s="19">
        <f>SUM(G113:G122)</f>
        <v>34.6</v>
      </c>
      <c r="H112" s="19">
        <f>SUM(H113:H122)</f>
        <v>0</v>
      </c>
      <c r="I112" s="45"/>
      <c r="J112" s="45"/>
      <c r="K112" s="45"/>
      <c r="L112" s="45"/>
    </row>
    <row r="113" spans="1:12" x14ac:dyDescent="0.25">
      <c r="A113" s="12">
        <v>101</v>
      </c>
      <c r="B113" s="1"/>
      <c r="C113" s="23" t="s">
        <v>48</v>
      </c>
      <c r="D113" s="1" t="s">
        <v>86</v>
      </c>
      <c r="E113" s="19">
        <f t="shared" si="0"/>
        <v>7.5</v>
      </c>
      <c r="F113" s="19">
        <v>7.5</v>
      </c>
      <c r="G113" s="19">
        <v>7.4</v>
      </c>
      <c r="H113" s="19"/>
      <c r="I113" s="45"/>
      <c r="J113" s="45"/>
      <c r="K113" s="45"/>
      <c r="L113" s="45"/>
    </row>
    <row r="114" spans="1:12" x14ac:dyDescent="0.25">
      <c r="A114" s="12">
        <v>102</v>
      </c>
      <c r="B114" s="1"/>
      <c r="C114" s="110" t="s">
        <v>53</v>
      </c>
      <c r="D114" s="1" t="s">
        <v>86</v>
      </c>
      <c r="E114" s="19">
        <f t="shared" si="0"/>
        <v>2.7</v>
      </c>
      <c r="F114" s="19">
        <v>2.7</v>
      </c>
      <c r="G114" s="19">
        <v>2.7</v>
      </c>
      <c r="H114" s="19"/>
      <c r="I114" s="45"/>
      <c r="J114" s="45"/>
      <c r="K114" s="45"/>
      <c r="L114" s="45"/>
    </row>
    <row r="115" spans="1:12" x14ac:dyDescent="0.25">
      <c r="A115" s="12">
        <v>103</v>
      </c>
      <c r="B115" s="1"/>
      <c r="C115" s="110" t="s">
        <v>54</v>
      </c>
      <c r="D115" s="1" t="s">
        <v>86</v>
      </c>
      <c r="E115" s="19">
        <f t="shared" si="0"/>
        <v>1.7</v>
      </c>
      <c r="F115" s="19">
        <v>1.7</v>
      </c>
      <c r="G115" s="19">
        <v>1.7</v>
      </c>
      <c r="H115" s="19"/>
      <c r="I115" s="45"/>
      <c r="J115" s="45"/>
      <c r="K115" s="45"/>
      <c r="L115" s="45"/>
    </row>
    <row r="116" spans="1:12" x14ac:dyDescent="0.25">
      <c r="A116" s="12">
        <v>104</v>
      </c>
      <c r="B116" s="1"/>
      <c r="C116" s="110" t="s">
        <v>49</v>
      </c>
      <c r="D116" s="1" t="s">
        <v>86</v>
      </c>
      <c r="E116" s="19">
        <f t="shared" si="0"/>
        <v>1.5</v>
      </c>
      <c r="F116" s="19">
        <v>1.5</v>
      </c>
      <c r="G116" s="19">
        <v>1.5</v>
      </c>
      <c r="H116" s="19"/>
      <c r="I116" s="45"/>
      <c r="J116" s="45"/>
      <c r="K116" s="45"/>
      <c r="L116" s="45"/>
    </row>
    <row r="117" spans="1:12" x14ac:dyDescent="0.25">
      <c r="A117" s="12">
        <v>105</v>
      </c>
      <c r="B117" s="1"/>
      <c r="C117" s="110" t="s">
        <v>55</v>
      </c>
      <c r="D117" s="1" t="s">
        <v>86</v>
      </c>
      <c r="E117" s="19">
        <f t="shared" si="0"/>
        <v>1.2</v>
      </c>
      <c r="F117" s="19">
        <v>1.2</v>
      </c>
      <c r="G117" s="19">
        <v>1.2</v>
      </c>
      <c r="H117" s="19"/>
      <c r="I117" s="45"/>
      <c r="J117" s="45"/>
      <c r="K117" s="45"/>
      <c r="L117" s="45"/>
    </row>
    <row r="118" spans="1:12" x14ac:dyDescent="0.25">
      <c r="A118" s="12">
        <v>106</v>
      </c>
      <c r="B118" s="1"/>
      <c r="C118" s="110" t="s">
        <v>56</v>
      </c>
      <c r="D118" s="1" t="s">
        <v>86</v>
      </c>
      <c r="E118" s="19">
        <f t="shared" si="0"/>
        <v>1</v>
      </c>
      <c r="F118" s="19">
        <v>1</v>
      </c>
      <c r="G118" s="19">
        <v>1</v>
      </c>
      <c r="H118" s="19"/>
      <c r="I118" s="45"/>
      <c r="J118" s="45"/>
      <c r="K118" s="45"/>
      <c r="L118" s="45"/>
    </row>
    <row r="119" spans="1:12" ht="26.4" x14ac:dyDescent="0.25">
      <c r="A119" s="12">
        <v>107</v>
      </c>
      <c r="B119" s="1"/>
      <c r="C119" s="15" t="s">
        <v>57</v>
      </c>
      <c r="D119" s="1" t="s">
        <v>87</v>
      </c>
      <c r="E119" s="19">
        <f t="shared" si="0"/>
        <v>14</v>
      </c>
      <c r="F119" s="19">
        <v>14</v>
      </c>
      <c r="G119" s="19">
        <v>13.8</v>
      </c>
      <c r="H119" s="19"/>
      <c r="I119" s="45"/>
      <c r="J119" s="45"/>
      <c r="K119" s="45"/>
      <c r="L119" s="45"/>
    </row>
    <row r="120" spans="1:12" x14ac:dyDescent="0.25">
      <c r="A120" s="12">
        <v>108</v>
      </c>
      <c r="B120" s="1"/>
      <c r="C120" s="110" t="s">
        <v>47</v>
      </c>
      <c r="D120" s="1" t="s">
        <v>88</v>
      </c>
      <c r="E120" s="19">
        <f t="shared" si="0"/>
        <v>5</v>
      </c>
      <c r="F120" s="19">
        <v>5</v>
      </c>
      <c r="G120" s="19">
        <v>4.9000000000000004</v>
      </c>
      <c r="H120" s="19"/>
      <c r="I120" s="45"/>
      <c r="J120" s="45"/>
      <c r="K120" s="45"/>
      <c r="L120" s="45"/>
    </row>
    <row r="121" spans="1:12" ht="26.4" x14ac:dyDescent="0.25">
      <c r="A121" s="12">
        <v>109</v>
      </c>
      <c r="B121" s="1"/>
      <c r="C121" s="15" t="s">
        <v>6</v>
      </c>
      <c r="D121" s="1" t="s">
        <v>88</v>
      </c>
      <c r="E121" s="19">
        <f t="shared" si="0"/>
        <v>0.1</v>
      </c>
      <c r="F121" s="19">
        <v>0.1</v>
      </c>
      <c r="G121" s="19">
        <v>0.1</v>
      </c>
      <c r="H121" s="19"/>
      <c r="I121" s="45"/>
      <c r="J121" s="45"/>
      <c r="K121" s="45"/>
      <c r="L121" s="45"/>
    </row>
    <row r="122" spans="1:12" x14ac:dyDescent="0.25">
      <c r="A122" s="12">
        <v>110</v>
      </c>
      <c r="B122" s="1"/>
      <c r="C122" s="23" t="s">
        <v>52</v>
      </c>
      <c r="D122" s="1" t="s">
        <v>67</v>
      </c>
      <c r="E122" s="19">
        <f t="shared" si="0"/>
        <v>0.3</v>
      </c>
      <c r="F122" s="19">
        <v>0.3</v>
      </c>
      <c r="G122" s="19">
        <v>0.3</v>
      </c>
      <c r="H122" s="19"/>
      <c r="I122" s="45"/>
      <c r="J122" s="45"/>
      <c r="K122" s="45"/>
      <c r="L122" s="45"/>
    </row>
    <row r="123" spans="1:12" ht="26.4" x14ac:dyDescent="0.25">
      <c r="A123" s="12">
        <v>111</v>
      </c>
      <c r="B123" s="1" t="s">
        <v>620</v>
      </c>
      <c r="C123" s="150" t="s">
        <v>616</v>
      </c>
      <c r="D123" s="18"/>
      <c r="E123" s="42">
        <f t="shared" si="0"/>
        <v>957</v>
      </c>
      <c r="F123" s="42">
        <f t="shared" ref="F123:H124" si="5">+F124</f>
        <v>0</v>
      </c>
      <c r="G123" s="42">
        <f t="shared" si="5"/>
        <v>0</v>
      </c>
      <c r="H123" s="42">
        <f t="shared" si="5"/>
        <v>957</v>
      </c>
      <c r="I123" s="45"/>
      <c r="J123" s="45"/>
      <c r="K123" s="45"/>
      <c r="L123" s="45"/>
    </row>
    <row r="124" spans="1:12" x14ac:dyDescent="0.25">
      <c r="A124" s="12">
        <v>112</v>
      </c>
      <c r="B124" s="1"/>
      <c r="C124" s="15" t="s">
        <v>3</v>
      </c>
      <c r="D124" s="18" t="s">
        <v>86</v>
      </c>
      <c r="E124" s="19">
        <f t="shared" si="0"/>
        <v>957</v>
      </c>
      <c r="F124" s="19">
        <f t="shared" si="5"/>
        <v>0</v>
      </c>
      <c r="G124" s="19">
        <f t="shared" si="5"/>
        <v>0</v>
      </c>
      <c r="H124" s="19">
        <f t="shared" si="5"/>
        <v>957</v>
      </c>
      <c r="I124" s="45"/>
      <c r="J124" s="45"/>
      <c r="K124" s="45"/>
      <c r="L124" s="45"/>
    </row>
    <row r="125" spans="1:12" ht="39.6" x14ac:dyDescent="0.25">
      <c r="A125" s="12">
        <v>113</v>
      </c>
      <c r="B125" s="1"/>
      <c r="C125" s="137" t="s">
        <v>617</v>
      </c>
      <c r="D125" s="154"/>
      <c r="E125" s="19">
        <f t="shared" si="0"/>
        <v>957</v>
      </c>
      <c r="F125" s="19"/>
      <c r="G125" s="19"/>
      <c r="H125" s="19">
        <v>957</v>
      </c>
      <c r="I125" s="45"/>
      <c r="J125" s="45"/>
      <c r="K125" s="45"/>
      <c r="L125" s="45"/>
    </row>
    <row r="126" spans="1:12" ht="26.4" x14ac:dyDescent="0.25">
      <c r="A126" s="12">
        <v>114</v>
      </c>
      <c r="B126" s="1"/>
      <c r="C126" s="137" t="s">
        <v>794</v>
      </c>
      <c r="D126" s="154"/>
      <c r="E126" s="19">
        <f t="shared" si="0"/>
        <v>33</v>
      </c>
      <c r="F126" s="19">
        <f>+F127</f>
        <v>33</v>
      </c>
      <c r="G126" s="19">
        <f>+G127</f>
        <v>0.7</v>
      </c>
      <c r="H126" s="19">
        <f>+H127</f>
        <v>0</v>
      </c>
      <c r="I126" s="45"/>
      <c r="J126" s="45"/>
      <c r="K126" s="45"/>
      <c r="L126" s="45"/>
    </row>
    <row r="127" spans="1:12" x14ac:dyDescent="0.25">
      <c r="A127" s="12">
        <v>115</v>
      </c>
      <c r="B127" s="1"/>
      <c r="C127" s="15" t="s">
        <v>3</v>
      </c>
      <c r="D127" s="154" t="s">
        <v>791</v>
      </c>
      <c r="E127" s="19">
        <f t="shared" si="0"/>
        <v>33</v>
      </c>
      <c r="F127" s="19">
        <f>20.7+12.3</f>
        <v>33</v>
      </c>
      <c r="G127" s="19">
        <f>0.3+0.4</f>
        <v>0.7</v>
      </c>
      <c r="H127" s="19"/>
      <c r="I127" s="45"/>
      <c r="J127" s="45"/>
      <c r="K127" s="45"/>
      <c r="L127" s="45"/>
    </row>
    <row r="128" spans="1:12" ht="26.4" x14ac:dyDescent="0.25">
      <c r="A128" s="12">
        <v>116</v>
      </c>
      <c r="B128" s="11" t="s">
        <v>90</v>
      </c>
      <c r="C128" s="114" t="s">
        <v>91</v>
      </c>
      <c r="D128" s="1"/>
      <c r="E128" s="108">
        <f>+F128+H128</f>
        <v>2321.6</v>
      </c>
      <c r="F128" s="108">
        <f t="shared" ref="F128:H129" si="6">+F129</f>
        <v>840.9</v>
      </c>
      <c r="G128" s="108">
        <f t="shared" si="6"/>
        <v>0</v>
      </c>
      <c r="H128" s="108">
        <f t="shared" si="6"/>
        <v>1480.6999999999998</v>
      </c>
      <c r="I128" s="45"/>
      <c r="J128" s="45"/>
      <c r="K128" s="45"/>
      <c r="L128" s="45"/>
    </row>
    <row r="129" spans="1:12" ht="26.4" x14ac:dyDescent="0.25">
      <c r="A129" s="12">
        <v>117</v>
      </c>
      <c r="B129" s="1" t="s">
        <v>597</v>
      </c>
      <c r="C129" s="109" t="s">
        <v>762</v>
      </c>
      <c r="D129" s="1"/>
      <c r="E129" s="42">
        <f t="shared" si="0"/>
        <v>2321.6</v>
      </c>
      <c r="F129" s="42">
        <f t="shared" si="6"/>
        <v>840.9</v>
      </c>
      <c r="G129" s="42">
        <f t="shared" si="6"/>
        <v>0</v>
      </c>
      <c r="H129" s="42">
        <f t="shared" si="6"/>
        <v>1480.6999999999998</v>
      </c>
      <c r="I129" s="45"/>
      <c r="J129" s="45"/>
      <c r="K129" s="45"/>
      <c r="L129" s="45"/>
    </row>
    <row r="130" spans="1:12" x14ac:dyDescent="0.25">
      <c r="A130" s="12">
        <v>118</v>
      </c>
      <c r="B130" s="11"/>
      <c r="C130" s="15" t="s">
        <v>3</v>
      </c>
      <c r="D130" s="1" t="s">
        <v>124</v>
      </c>
      <c r="E130" s="19">
        <f>+F130+H130</f>
        <v>2321.6</v>
      </c>
      <c r="F130" s="19">
        <f>725.2+138.3+2.5-25.1</f>
        <v>840.9</v>
      </c>
      <c r="G130" s="19"/>
      <c r="H130" s="19">
        <f>1223.1+235-2.5+25.1</f>
        <v>1480.6999999999998</v>
      </c>
      <c r="I130" s="45"/>
      <c r="J130" s="45"/>
      <c r="K130" s="45"/>
      <c r="L130" s="45"/>
    </row>
    <row r="131" spans="1:12" x14ac:dyDescent="0.25">
      <c r="A131" s="12">
        <v>119</v>
      </c>
      <c r="B131" s="11" t="s">
        <v>95</v>
      </c>
      <c r="C131" s="17" t="s">
        <v>96</v>
      </c>
      <c r="D131" s="1"/>
      <c r="E131" s="108">
        <f t="shared" si="0"/>
        <v>33.700000000000003</v>
      </c>
      <c r="F131" s="108">
        <f>+F132+F134</f>
        <v>8.6999999999999993</v>
      </c>
      <c r="G131" s="108">
        <f>+G132+G134</f>
        <v>0</v>
      </c>
      <c r="H131" s="108">
        <f>+H132+H134</f>
        <v>25</v>
      </c>
      <c r="I131" s="45"/>
      <c r="J131" s="45"/>
      <c r="K131" s="45"/>
      <c r="L131" s="45"/>
    </row>
    <row r="132" spans="1:12" ht="26.4" x14ac:dyDescent="0.25">
      <c r="A132" s="12">
        <v>120</v>
      </c>
      <c r="B132" s="1" t="s">
        <v>598</v>
      </c>
      <c r="C132" s="109" t="s">
        <v>790</v>
      </c>
      <c r="D132" s="1"/>
      <c r="E132" s="42">
        <f t="shared" si="0"/>
        <v>8.6999999999999993</v>
      </c>
      <c r="F132" s="42">
        <f>+F133</f>
        <v>8.6999999999999993</v>
      </c>
      <c r="G132" s="42">
        <f>+G133</f>
        <v>0</v>
      </c>
      <c r="H132" s="42">
        <f>+H133</f>
        <v>0</v>
      </c>
      <c r="I132" s="45"/>
      <c r="J132" s="45"/>
      <c r="K132" s="45"/>
      <c r="L132" s="45"/>
    </row>
    <row r="133" spans="1:12" x14ac:dyDescent="0.25">
      <c r="A133" s="12">
        <v>121</v>
      </c>
      <c r="B133" s="1"/>
      <c r="C133" s="43" t="s">
        <v>3</v>
      </c>
      <c r="D133" s="1" t="s">
        <v>142</v>
      </c>
      <c r="E133" s="19">
        <f t="shared" si="0"/>
        <v>8.6999999999999993</v>
      </c>
      <c r="F133" s="19">
        <f>31-22.3</f>
        <v>8.6999999999999993</v>
      </c>
      <c r="G133" s="19"/>
      <c r="H133" s="19"/>
      <c r="I133" s="45"/>
      <c r="J133" s="45"/>
      <c r="K133" s="45"/>
      <c r="L133" s="45"/>
    </row>
    <row r="134" spans="1:12" ht="26.4" x14ac:dyDescent="0.25">
      <c r="A134" s="12">
        <v>122</v>
      </c>
      <c r="B134" s="1"/>
      <c r="C134" s="152" t="s">
        <v>603</v>
      </c>
      <c r="D134" s="1"/>
      <c r="E134" s="42">
        <f t="shared" si="0"/>
        <v>25</v>
      </c>
      <c r="F134" s="42">
        <f>+F135</f>
        <v>0</v>
      </c>
      <c r="G134" s="42">
        <f>+G135</f>
        <v>0</v>
      </c>
      <c r="H134" s="42">
        <f>+H135</f>
        <v>25</v>
      </c>
      <c r="I134" s="45"/>
      <c r="J134" s="45"/>
      <c r="K134" s="45"/>
      <c r="L134" s="45"/>
    </row>
    <row r="135" spans="1:12" x14ac:dyDescent="0.25">
      <c r="A135" s="12">
        <v>123</v>
      </c>
      <c r="B135" s="1"/>
      <c r="C135" s="43" t="s">
        <v>3</v>
      </c>
      <c r="D135" s="14" t="s">
        <v>161</v>
      </c>
      <c r="E135" s="19">
        <f t="shared" si="0"/>
        <v>25</v>
      </c>
      <c r="F135" s="19"/>
      <c r="G135" s="19"/>
      <c r="H135" s="19">
        <v>25</v>
      </c>
      <c r="I135" s="45"/>
      <c r="J135" s="45"/>
      <c r="K135" s="45"/>
      <c r="L135" s="45"/>
    </row>
    <row r="136" spans="1:12" x14ac:dyDescent="0.25">
      <c r="A136" s="12">
        <v>124</v>
      </c>
      <c r="B136" s="11" t="s">
        <v>36</v>
      </c>
      <c r="C136" s="17" t="s">
        <v>37</v>
      </c>
      <c r="D136" s="9"/>
      <c r="E136" s="108">
        <f t="shared" si="0"/>
        <v>53</v>
      </c>
      <c r="F136" s="108">
        <f t="shared" ref="F136:H137" si="7">+F137</f>
        <v>53</v>
      </c>
      <c r="G136" s="108">
        <f t="shared" si="7"/>
        <v>0</v>
      </c>
      <c r="H136" s="108">
        <f t="shared" si="7"/>
        <v>0</v>
      </c>
      <c r="I136" s="45"/>
      <c r="J136" s="45"/>
      <c r="K136" s="45"/>
      <c r="L136" s="45"/>
    </row>
    <row r="137" spans="1:12" ht="52.8" x14ac:dyDescent="0.25">
      <c r="A137" s="12">
        <v>125</v>
      </c>
      <c r="B137" s="1"/>
      <c r="C137" s="109" t="s">
        <v>767</v>
      </c>
      <c r="D137" s="14"/>
      <c r="E137" s="42">
        <f t="shared" si="0"/>
        <v>53</v>
      </c>
      <c r="F137" s="42">
        <f t="shared" si="7"/>
        <v>53</v>
      </c>
      <c r="G137" s="42">
        <f t="shared" si="7"/>
        <v>0</v>
      </c>
      <c r="H137" s="42">
        <f t="shared" si="7"/>
        <v>0</v>
      </c>
      <c r="I137" s="45"/>
      <c r="J137" s="45"/>
      <c r="K137" s="45"/>
      <c r="L137" s="45"/>
    </row>
    <row r="138" spans="1:12" x14ac:dyDescent="0.25">
      <c r="A138" s="12">
        <v>126</v>
      </c>
      <c r="B138" s="1"/>
      <c r="C138" s="43" t="s">
        <v>3</v>
      </c>
      <c r="D138" s="14" t="s">
        <v>768</v>
      </c>
      <c r="E138" s="19">
        <f t="shared" si="0"/>
        <v>53</v>
      </c>
      <c r="F138" s="19">
        <v>53</v>
      </c>
      <c r="G138" s="19"/>
      <c r="H138" s="19"/>
      <c r="I138" s="45"/>
      <c r="J138" s="45"/>
      <c r="K138" s="45"/>
      <c r="L138" s="45"/>
    </row>
    <row r="139" spans="1:12" x14ac:dyDescent="0.25">
      <c r="A139" s="12">
        <v>127</v>
      </c>
      <c r="B139" s="11" t="s">
        <v>101</v>
      </c>
      <c r="C139" s="17" t="s">
        <v>102</v>
      </c>
      <c r="D139" s="14"/>
      <c r="E139" s="108">
        <f t="shared" si="0"/>
        <v>150</v>
      </c>
      <c r="F139" s="108">
        <f t="shared" ref="F139:H140" si="8">+F140</f>
        <v>0</v>
      </c>
      <c r="G139" s="108">
        <f t="shared" si="8"/>
        <v>0</v>
      </c>
      <c r="H139" s="108">
        <f t="shared" si="8"/>
        <v>150</v>
      </c>
      <c r="I139" s="45"/>
      <c r="J139" s="45"/>
      <c r="K139" s="45"/>
      <c r="L139" s="45"/>
    </row>
    <row r="140" spans="1:12" ht="79.2" x14ac:dyDescent="0.25">
      <c r="A140" s="12">
        <v>128</v>
      </c>
      <c r="B140" s="1"/>
      <c r="C140" s="152" t="s">
        <v>779</v>
      </c>
      <c r="D140" s="14"/>
      <c r="E140" s="42">
        <f t="shared" si="0"/>
        <v>150</v>
      </c>
      <c r="F140" s="42">
        <f t="shared" si="8"/>
        <v>0</v>
      </c>
      <c r="G140" s="42">
        <f t="shared" si="8"/>
        <v>0</v>
      </c>
      <c r="H140" s="42">
        <f t="shared" si="8"/>
        <v>150</v>
      </c>
      <c r="I140" s="45"/>
      <c r="J140" s="45"/>
      <c r="K140" s="45"/>
      <c r="L140" s="45"/>
    </row>
    <row r="141" spans="1:12" x14ac:dyDescent="0.25">
      <c r="A141" s="12">
        <v>129</v>
      </c>
      <c r="B141" s="1"/>
      <c r="C141" s="43" t="s">
        <v>3</v>
      </c>
      <c r="D141" s="1" t="s">
        <v>800</v>
      </c>
      <c r="E141" s="19">
        <f t="shared" si="0"/>
        <v>150</v>
      </c>
      <c r="F141" s="19"/>
      <c r="G141" s="19"/>
      <c r="H141" s="19">
        <v>150</v>
      </c>
      <c r="I141" s="45"/>
      <c r="J141" s="45"/>
      <c r="K141" s="45"/>
      <c r="L141" s="45"/>
    </row>
    <row r="142" spans="1:12" x14ac:dyDescent="0.25">
      <c r="A142" s="12">
        <v>130</v>
      </c>
      <c r="B142" s="11" t="s">
        <v>26</v>
      </c>
      <c r="C142" s="17" t="s">
        <v>27</v>
      </c>
      <c r="D142" s="1"/>
      <c r="E142" s="108">
        <f t="shared" si="0"/>
        <v>381.4</v>
      </c>
      <c r="F142" s="108">
        <f>+F143+F145</f>
        <v>381.4</v>
      </c>
      <c r="G142" s="108">
        <f>+G143+G145</f>
        <v>0</v>
      </c>
      <c r="H142" s="108">
        <f>+H143+H145</f>
        <v>0</v>
      </c>
      <c r="I142" s="45"/>
      <c r="J142" s="45"/>
      <c r="K142" s="45"/>
      <c r="L142" s="45"/>
    </row>
    <row r="143" spans="1:12" ht="51.75" customHeight="1" x14ac:dyDescent="0.25">
      <c r="A143" s="12">
        <v>131</v>
      </c>
      <c r="B143" s="1" t="s">
        <v>38</v>
      </c>
      <c r="C143" s="150" t="s">
        <v>589</v>
      </c>
      <c r="D143" s="18"/>
      <c r="E143" s="42">
        <f>+F143+H143</f>
        <v>234.29999999999998</v>
      </c>
      <c r="F143" s="42">
        <f>+F144</f>
        <v>234.29999999999998</v>
      </c>
      <c r="G143" s="42">
        <f>+G144</f>
        <v>0</v>
      </c>
      <c r="H143" s="42"/>
      <c r="I143" s="45"/>
      <c r="J143" s="45"/>
      <c r="K143" s="45"/>
      <c r="L143" s="45"/>
    </row>
    <row r="144" spans="1:12" x14ac:dyDescent="0.25">
      <c r="A144" s="12">
        <v>132</v>
      </c>
      <c r="B144" s="1"/>
      <c r="C144" s="137" t="s">
        <v>3</v>
      </c>
      <c r="D144" s="18" t="s">
        <v>130</v>
      </c>
      <c r="E144" s="19">
        <f t="shared" si="0"/>
        <v>234.29999999999998</v>
      </c>
      <c r="F144" s="19">
        <f>89.3+86.9+37.5+20.6</f>
        <v>234.29999999999998</v>
      </c>
      <c r="G144" s="19"/>
      <c r="H144" s="19"/>
      <c r="I144" s="45"/>
      <c r="J144" s="45"/>
      <c r="K144" s="45"/>
      <c r="L144" s="45"/>
    </row>
    <row r="145" spans="1:12" ht="92.4" x14ac:dyDescent="0.25">
      <c r="A145" s="12">
        <v>133</v>
      </c>
      <c r="B145" s="1"/>
      <c r="C145" s="150" t="s">
        <v>812</v>
      </c>
      <c r="D145" s="18"/>
      <c r="E145" s="19">
        <f>+F145+H145</f>
        <v>147.1</v>
      </c>
      <c r="F145" s="19">
        <f t="shared" ref="F145:H146" si="9">+F146</f>
        <v>147.1</v>
      </c>
      <c r="G145" s="19">
        <f t="shared" si="9"/>
        <v>0</v>
      </c>
      <c r="H145" s="19">
        <f t="shared" si="9"/>
        <v>0</v>
      </c>
      <c r="I145" s="45"/>
      <c r="J145" s="45"/>
      <c r="K145" s="45"/>
      <c r="L145" s="45"/>
    </row>
    <row r="146" spans="1:12" ht="26.4" x14ac:dyDescent="0.25">
      <c r="A146" s="12">
        <v>134</v>
      </c>
      <c r="B146" s="1"/>
      <c r="C146" s="150" t="s">
        <v>211</v>
      </c>
      <c r="D146" s="18" t="s">
        <v>107</v>
      </c>
      <c r="E146" s="19">
        <f>+F146+H146</f>
        <v>147.1</v>
      </c>
      <c r="F146" s="19">
        <f t="shared" si="9"/>
        <v>147.1</v>
      </c>
      <c r="G146" s="19">
        <f t="shared" si="9"/>
        <v>0</v>
      </c>
      <c r="H146" s="19">
        <f t="shared" si="9"/>
        <v>0</v>
      </c>
      <c r="I146" s="45"/>
      <c r="J146" s="45"/>
      <c r="K146" s="45"/>
      <c r="L146" s="45"/>
    </row>
    <row r="147" spans="1:12" ht="26.4" x14ac:dyDescent="0.25">
      <c r="A147" s="12">
        <v>135</v>
      </c>
      <c r="B147" s="1"/>
      <c r="C147" s="137" t="s">
        <v>203</v>
      </c>
      <c r="D147" s="18"/>
      <c r="E147" s="19">
        <f>+F147+H147</f>
        <v>147.1</v>
      </c>
      <c r="F147" s="19">
        <v>147.1</v>
      </c>
      <c r="G147" s="19"/>
      <c r="H147" s="19"/>
      <c r="I147" s="45"/>
      <c r="J147" s="45"/>
      <c r="K147" s="45"/>
      <c r="L147" s="45"/>
    </row>
    <row r="148" spans="1:12" x14ac:dyDescent="0.25">
      <c r="A148" s="12">
        <v>136</v>
      </c>
      <c r="B148" s="11"/>
      <c r="C148" s="30" t="s">
        <v>21</v>
      </c>
      <c r="D148" s="1"/>
      <c r="E148" s="93">
        <f>+F148+H148</f>
        <v>6620.7</v>
      </c>
      <c r="F148" s="93">
        <f>+F12+F105+F89+F109+F92+F128+F131+F136+F139+F142</f>
        <v>2862</v>
      </c>
      <c r="G148" s="93">
        <f>+G12+G105+G89+G109+G92+G128+G131+G136+G139+G142</f>
        <v>327.60000000000002</v>
      </c>
      <c r="H148" s="93">
        <f>+H12+H105+H89+H109+H92+H128+H131+H136+H139+H142</f>
        <v>3758.7</v>
      </c>
      <c r="I148" s="45"/>
      <c r="J148" s="45"/>
      <c r="K148" s="45"/>
      <c r="L148" s="45"/>
    </row>
    <row r="149" spans="1:12" x14ac:dyDescent="0.25">
      <c r="C149" s="144" t="s">
        <v>120</v>
      </c>
      <c r="D149" s="7"/>
      <c r="E149" s="20"/>
      <c r="F149" s="20"/>
      <c r="G149" s="20"/>
      <c r="H149" s="20"/>
    </row>
    <row r="150" spans="1:12" ht="13.5" customHeight="1" x14ac:dyDescent="0.25">
      <c r="C150" s="155"/>
      <c r="E150" s="127"/>
      <c r="F150" s="20"/>
      <c r="G150" s="20"/>
      <c r="H150" s="20"/>
    </row>
    <row r="151" spans="1:12" x14ac:dyDescent="0.25">
      <c r="C151" s="155"/>
      <c r="D151" s="2"/>
      <c r="E151" s="127"/>
      <c r="F151" s="20"/>
      <c r="G151" s="20"/>
      <c r="H151" s="20"/>
    </row>
    <row r="152" spans="1:12" x14ac:dyDescent="0.25">
      <c r="D152" s="5"/>
      <c r="E152" s="127"/>
      <c r="F152" s="135"/>
      <c r="G152" s="135"/>
      <c r="H152" s="135"/>
    </row>
  </sheetData>
  <mergeCells count="12">
    <mergeCell ref="C1:H1"/>
    <mergeCell ref="C2:H2"/>
    <mergeCell ref="E3:H3"/>
    <mergeCell ref="A5:H5"/>
    <mergeCell ref="A8:A10"/>
    <mergeCell ref="B8:B10"/>
    <mergeCell ref="C8:C10"/>
    <mergeCell ref="D8:D10"/>
    <mergeCell ref="E8:E10"/>
    <mergeCell ref="F8:H8"/>
    <mergeCell ref="F9:G9"/>
    <mergeCell ref="H9:H10"/>
  </mergeCells>
  <pageMargins left="0.39370078740157483" right="0" top="0.39370078740157483" bottom="0.19685039370078741" header="0.31496062992125984" footer="0.31496062992125984"/>
  <pageSetup paperSize="9" orientation="portrait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35"/>
  <sheetViews>
    <sheetView workbookViewId="0">
      <selection activeCell="L10" sqref="L10"/>
    </sheetView>
  </sheetViews>
  <sheetFormatPr defaultColWidth="9.109375" defaultRowHeight="13.2" x14ac:dyDescent="0.25"/>
  <cols>
    <col min="1" max="1" width="4.44140625" style="2" customWidth="1"/>
    <col min="2" max="2" width="5" style="2" customWidth="1"/>
    <col min="3" max="3" width="45.5546875" style="2" customWidth="1"/>
    <col min="4" max="4" width="10.109375" style="159" customWidth="1"/>
    <col min="5" max="5" width="8.44140625" style="2" customWidth="1"/>
    <col min="6" max="6" width="6.44140625" style="2" customWidth="1"/>
    <col min="7" max="7" width="10.33203125" style="2" customWidth="1"/>
    <col min="8" max="8" width="8.44140625" style="2" customWidth="1"/>
    <col min="9" max="9" width="9.5546875" style="158" customWidth="1"/>
    <col min="10" max="16384" width="9.109375" style="2"/>
  </cols>
  <sheetData>
    <row r="1" spans="1:19" ht="15.6" x14ac:dyDescent="0.3">
      <c r="C1" s="172" t="s">
        <v>822</v>
      </c>
      <c r="D1" s="172"/>
      <c r="E1" s="172"/>
      <c r="F1" s="172"/>
      <c r="G1" s="172"/>
      <c r="H1" s="172"/>
    </row>
    <row r="2" spans="1:19" ht="15.6" x14ac:dyDescent="0.3">
      <c r="C2" s="172" t="s">
        <v>820</v>
      </c>
      <c r="D2" s="172"/>
      <c r="E2" s="172"/>
      <c r="F2" s="172"/>
      <c r="G2" s="172"/>
      <c r="H2" s="172"/>
    </row>
    <row r="3" spans="1:19" ht="15.6" x14ac:dyDescent="0.3">
      <c r="B3" s="7"/>
      <c r="E3" s="205" t="s">
        <v>802</v>
      </c>
      <c r="F3" s="205"/>
      <c r="G3" s="205"/>
      <c r="H3" s="205"/>
      <c r="I3" s="2"/>
    </row>
    <row r="4" spans="1:19" ht="15.6" x14ac:dyDescent="0.3">
      <c r="B4" s="7"/>
      <c r="E4" s="27"/>
      <c r="F4" s="27"/>
      <c r="G4" s="27"/>
      <c r="H4" s="27"/>
      <c r="I4" s="2"/>
    </row>
    <row r="5" spans="1:19" ht="26.4" customHeight="1" x14ac:dyDescent="0.25">
      <c r="A5" s="174" t="s">
        <v>803</v>
      </c>
      <c r="B5" s="174"/>
      <c r="C5" s="174"/>
      <c r="D5" s="174"/>
      <c r="E5" s="174"/>
      <c r="F5" s="174"/>
      <c r="G5" s="174"/>
      <c r="H5" s="174"/>
      <c r="I5" s="2"/>
      <c r="M5" s="35"/>
    </row>
    <row r="6" spans="1:19" x14ac:dyDescent="0.25">
      <c r="A6" s="34"/>
      <c r="B6" s="34"/>
      <c r="C6" s="34"/>
      <c r="D6" s="34"/>
      <c r="E6" s="34"/>
      <c r="F6" s="34"/>
      <c r="G6" s="34"/>
      <c r="H6" s="34"/>
      <c r="I6" s="2"/>
    </row>
    <row r="7" spans="1:19" x14ac:dyDescent="0.25">
      <c r="B7" s="7"/>
      <c r="E7" s="26"/>
      <c r="F7" s="26"/>
      <c r="G7" s="206" t="s">
        <v>804</v>
      </c>
      <c r="H7" s="206"/>
      <c r="I7" s="2"/>
    </row>
    <row r="8" spans="1:19" x14ac:dyDescent="0.25">
      <c r="A8" s="201" t="s">
        <v>0</v>
      </c>
      <c r="B8" s="207" t="s">
        <v>59</v>
      </c>
      <c r="C8" s="201" t="s">
        <v>16</v>
      </c>
      <c r="D8" s="200" t="s">
        <v>60</v>
      </c>
      <c r="E8" s="201" t="s">
        <v>17</v>
      </c>
      <c r="F8" s="204" t="s">
        <v>18</v>
      </c>
      <c r="G8" s="204"/>
      <c r="H8" s="204"/>
      <c r="I8" s="2"/>
    </row>
    <row r="9" spans="1:19" x14ac:dyDescent="0.25">
      <c r="A9" s="203"/>
      <c r="B9" s="207"/>
      <c r="C9" s="201"/>
      <c r="D9" s="200"/>
      <c r="E9" s="201"/>
      <c r="F9" s="204" t="s">
        <v>382</v>
      </c>
      <c r="G9" s="204"/>
      <c r="H9" s="201" t="s">
        <v>805</v>
      </c>
      <c r="I9" s="2"/>
    </row>
    <row r="10" spans="1:19" ht="22.8" x14ac:dyDescent="0.25">
      <c r="A10" s="203"/>
      <c r="B10" s="207"/>
      <c r="C10" s="201"/>
      <c r="D10" s="200"/>
      <c r="E10" s="201"/>
      <c r="F10" s="8" t="s">
        <v>17</v>
      </c>
      <c r="G10" s="28" t="s">
        <v>806</v>
      </c>
      <c r="H10" s="201"/>
      <c r="I10" s="2"/>
    </row>
    <row r="11" spans="1:19" x14ac:dyDescent="0.25">
      <c r="A11" s="160">
        <v>1</v>
      </c>
      <c r="B11" s="11" t="s">
        <v>19</v>
      </c>
      <c r="C11" s="8">
        <v>3</v>
      </c>
      <c r="D11" s="9">
        <v>4</v>
      </c>
      <c r="E11" s="8">
        <v>5</v>
      </c>
      <c r="F11" s="8">
        <v>6</v>
      </c>
      <c r="G11" s="8">
        <v>7</v>
      </c>
      <c r="H11" s="8">
        <v>8</v>
      </c>
      <c r="I11" s="2"/>
    </row>
    <row r="12" spans="1:19" x14ac:dyDescent="0.25">
      <c r="A12" s="161">
        <v>1</v>
      </c>
      <c r="B12" s="11" t="s">
        <v>61</v>
      </c>
      <c r="C12" s="13" t="s">
        <v>62</v>
      </c>
      <c r="D12" s="9"/>
      <c r="E12" s="162">
        <f t="shared" ref="E12:E20" si="0">+F12+H12</f>
        <v>380</v>
      </c>
      <c r="F12" s="162">
        <f t="shared" ref="F12:H13" si="1">+F13</f>
        <v>0</v>
      </c>
      <c r="G12" s="162">
        <f t="shared" si="1"/>
        <v>0</v>
      </c>
      <c r="H12" s="162">
        <f t="shared" si="1"/>
        <v>380</v>
      </c>
      <c r="I12" s="4"/>
      <c r="K12" s="4"/>
    </row>
    <row r="13" spans="1:19" x14ac:dyDescent="0.25">
      <c r="A13" s="161">
        <v>2</v>
      </c>
      <c r="B13" s="1"/>
      <c r="C13" s="32" t="s">
        <v>239</v>
      </c>
      <c r="D13" s="1"/>
      <c r="E13" s="163">
        <f t="shared" si="0"/>
        <v>380</v>
      </c>
      <c r="F13" s="164">
        <f t="shared" si="1"/>
        <v>0</v>
      </c>
      <c r="G13" s="164">
        <f t="shared" si="1"/>
        <v>0</v>
      </c>
      <c r="H13" s="164">
        <f t="shared" si="1"/>
        <v>380</v>
      </c>
      <c r="I13" s="4"/>
      <c r="R13" s="4"/>
      <c r="S13" s="165"/>
    </row>
    <row r="14" spans="1:19" ht="39.6" x14ac:dyDescent="0.25">
      <c r="A14" s="161" t="s">
        <v>498</v>
      </c>
      <c r="B14" s="1"/>
      <c r="C14" s="31" t="s">
        <v>807</v>
      </c>
      <c r="D14" s="1" t="s">
        <v>63</v>
      </c>
      <c r="E14" s="163">
        <f t="shared" si="0"/>
        <v>380</v>
      </c>
      <c r="F14" s="163"/>
      <c r="G14" s="25"/>
      <c r="H14" s="25">
        <v>380</v>
      </c>
      <c r="I14" s="4"/>
      <c r="R14" s="4"/>
      <c r="S14" s="165"/>
    </row>
    <row r="15" spans="1:19" ht="26.4" x14ac:dyDescent="0.25">
      <c r="A15" s="161">
        <v>3</v>
      </c>
      <c r="B15" s="11" t="s">
        <v>90</v>
      </c>
      <c r="C15" s="17" t="s">
        <v>91</v>
      </c>
      <c r="D15" s="1"/>
      <c r="E15" s="166">
        <f t="shared" si="0"/>
        <v>820</v>
      </c>
      <c r="F15" s="166">
        <f>+F16</f>
        <v>0.3</v>
      </c>
      <c r="G15" s="166">
        <f>+G16</f>
        <v>0</v>
      </c>
      <c r="H15" s="166">
        <f>+H16</f>
        <v>819.7</v>
      </c>
      <c r="I15" s="4"/>
      <c r="R15" s="4"/>
      <c r="S15" s="165"/>
    </row>
    <row r="16" spans="1:19" x14ac:dyDescent="0.25">
      <c r="A16" s="161">
        <v>4</v>
      </c>
      <c r="B16" s="1"/>
      <c r="C16" s="31" t="s">
        <v>239</v>
      </c>
      <c r="D16" s="1"/>
      <c r="E16" s="163">
        <f t="shared" si="0"/>
        <v>820</v>
      </c>
      <c r="F16" s="164">
        <f>+F17+F18+F19</f>
        <v>0.3</v>
      </c>
      <c r="G16" s="164">
        <f>+G17+G18+G19</f>
        <v>0</v>
      </c>
      <c r="H16" s="163">
        <f>+H17+H18+H19</f>
        <v>819.7</v>
      </c>
      <c r="I16" s="4"/>
      <c r="R16" s="4"/>
      <c r="S16" s="165"/>
    </row>
    <row r="17" spans="1:19" ht="43.95" customHeight="1" x14ac:dyDescent="0.25">
      <c r="A17" s="161" t="s">
        <v>232</v>
      </c>
      <c r="B17" s="1"/>
      <c r="C17" s="15" t="s">
        <v>435</v>
      </c>
      <c r="D17" s="14" t="s">
        <v>93</v>
      </c>
      <c r="E17" s="19">
        <f t="shared" si="0"/>
        <v>631.20000000000005</v>
      </c>
      <c r="F17" s="19"/>
      <c r="G17" s="19"/>
      <c r="H17" s="19">
        <f>431.2+200</f>
        <v>631.20000000000005</v>
      </c>
      <c r="I17" s="4"/>
      <c r="L17" s="4"/>
      <c r="R17" s="4"/>
      <c r="S17" s="165"/>
    </row>
    <row r="18" spans="1:19" ht="26.4" x14ac:dyDescent="0.25">
      <c r="A18" s="161" t="s">
        <v>808</v>
      </c>
      <c r="B18" s="1"/>
      <c r="C18" s="15" t="s">
        <v>180</v>
      </c>
      <c r="D18" s="14" t="s">
        <v>187</v>
      </c>
      <c r="E18" s="19">
        <f t="shared" si="0"/>
        <v>28.500000000000004</v>
      </c>
      <c r="F18" s="19">
        <v>0.3</v>
      </c>
      <c r="G18" s="19"/>
      <c r="H18" s="19">
        <f>362-300-33.8</f>
        <v>28.200000000000003</v>
      </c>
      <c r="I18" s="4"/>
      <c r="L18" s="4"/>
      <c r="R18" s="4"/>
      <c r="S18" s="165"/>
    </row>
    <row r="19" spans="1:19" ht="26.4" x14ac:dyDescent="0.25">
      <c r="A19" s="161" t="s">
        <v>809</v>
      </c>
      <c r="B19" s="1"/>
      <c r="C19" s="15" t="s">
        <v>181</v>
      </c>
      <c r="D19" s="14" t="s">
        <v>187</v>
      </c>
      <c r="E19" s="163">
        <f t="shared" si="0"/>
        <v>160.30000000000001</v>
      </c>
      <c r="F19" s="163"/>
      <c r="G19" s="25"/>
      <c r="H19" s="25">
        <f>26.5+100+33.8</f>
        <v>160.30000000000001</v>
      </c>
      <c r="I19" s="4"/>
      <c r="L19" s="4"/>
      <c r="R19" s="4"/>
      <c r="S19" s="165"/>
    </row>
    <row r="20" spans="1:19" x14ac:dyDescent="0.25">
      <c r="A20" s="161">
        <v>5</v>
      </c>
      <c r="B20" s="1"/>
      <c r="C20" s="167" t="s">
        <v>21</v>
      </c>
      <c r="D20" s="1"/>
      <c r="E20" s="24">
        <f t="shared" si="0"/>
        <v>1200</v>
      </c>
      <c r="F20" s="24">
        <f>+F12+F15</f>
        <v>0.3</v>
      </c>
      <c r="G20" s="24">
        <f>+G12+G15</f>
        <v>0</v>
      </c>
      <c r="H20" s="24">
        <f>+H12+H15</f>
        <v>1199.7</v>
      </c>
      <c r="I20" s="4"/>
      <c r="J20" s="4"/>
      <c r="K20" s="4"/>
      <c r="L20" s="4"/>
    </row>
    <row r="21" spans="1:19" x14ac:dyDescent="0.25">
      <c r="C21" s="2" t="s">
        <v>115</v>
      </c>
      <c r="E21" s="4"/>
      <c r="F21" s="4"/>
      <c r="G21" s="4"/>
      <c r="H21" s="4"/>
      <c r="I21" s="2"/>
    </row>
    <row r="22" spans="1:19" x14ac:dyDescent="0.25">
      <c r="D22" s="2"/>
      <c r="E22" s="4"/>
      <c r="F22" s="4"/>
      <c r="G22" s="4"/>
      <c r="H22" s="4"/>
      <c r="I22" s="2"/>
      <c r="J22" s="4"/>
    </row>
    <row r="23" spans="1:19" x14ac:dyDescent="0.25">
      <c r="D23" s="2"/>
      <c r="E23" s="4"/>
      <c r="F23" s="29"/>
      <c r="G23" s="29"/>
      <c r="H23" s="29"/>
      <c r="I23" s="2"/>
    </row>
    <row r="24" spans="1:19" x14ac:dyDescent="0.25">
      <c r="E24" s="29"/>
      <c r="F24" s="29"/>
      <c r="G24" s="29"/>
      <c r="H24" s="29"/>
      <c r="I24" s="4"/>
      <c r="J24" s="4"/>
    </row>
    <row r="25" spans="1:19" x14ac:dyDescent="0.25">
      <c r="E25" s="29"/>
      <c r="F25" s="4"/>
      <c r="G25" s="4"/>
      <c r="H25" s="4"/>
      <c r="I25" s="4"/>
      <c r="J25" s="4"/>
    </row>
    <row r="26" spans="1:19" x14ac:dyDescent="0.25">
      <c r="E26" s="4"/>
      <c r="F26" s="29"/>
    </row>
    <row r="27" spans="1:19" x14ac:dyDescent="0.25">
      <c r="E27" s="4"/>
      <c r="F27" s="4"/>
      <c r="G27" s="4"/>
    </row>
    <row r="28" spans="1:19" x14ac:dyDescent="0.25">
      <c r="C28" s="26"/>
      <c r="D28" s="26"/>
      <c r="E28" s="4"/>
      <c r="F28" s="4"/>
      <c r="G28" s="4"/>
      <c r="H28" s="4"/>
    </row>
    <row r="29" spans="1:19" x14ac:dyDescent="0.25">
      <c r="C29" s="26"/>
      <c r="D29" s="26"/>
      <c r="E29" s="4"/>
      <c r="F29" s="4"/>
      <c r="G29" s="4"/>
    </row>
    <row r="30" spans="1:19" x14ac:dyDescent="0.25">
      <c r="E30" s="4"/>
      <c r="F30" s="4"/>
      <c r="G30" s="4"/>
      <c r="H30" s="4"/>
    </row>
    <row r="31" spans="1:19" x14ac:dyDescent="0.25">
      <c r="E31" s="4"/>
      <c r="F31" s="4"/>
      <c r="G31" s="4"/>
      <c r="H31" s="4"/>
    </row>
    <row r="32" spans="1:19" x14ac:dyDescent="0.25">
      <c r="E32" s="4"/>
    </row>
    <row r="33" spans="5:9" x14ac:dyDescent="0.25">
      <c r="E33" s="4"/>
      <c r="F33" s="4"/>
      <c r="G33" s="4"/>
      <c r="H33" s="4"/>
    </row>
    <row r="35" spans="5:9" x14ac:dyDescent="0.25">
      <c r="E35" s="4"/>
      <c r="F35" s="4"/>
      <c r="G35" s="4"/>
      <c r="H35" s="4"/>
      <c r="I35" s="168"/>
    </row>
  </sheetData>
  <mergeCells count="13">
    <mergeCell ref="F8:H8"/>
    <mergeCell ref="F9:G9"/>
    <mergeCell ref="H9:H10"/>
    <mergeCell ref="C1:H1"/>
    <mergeCell ref="C2:H2"/>
    <mergeCell ref="E3:H3"/>
    <mergeCell ref="A5:H5"/>
    <mergeCell ref="G7:H7"/>
    <mergeCell ref="A8:A10"/>
    <mergeCell ref="B8:B10"/>
    <mergeCell ref="C8:C10"/>
    <mergeCell ref="D8:D10"/>
    <mergeCell ref="E8:E10"/>
  </mergeCells>
  <pageMargins left="0.31496062992125984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10</vt:i4>
      </vt:variant>
    </vt:vector>
  </HeadingPairs>
  <TitlesOfParts>
    <vt:vector size="15" baseType="lpstr">
      <vt:lpstr>1 pr</vt:lpstr>
      <vt:lpstr>3 pr</vt:lpstr>
      <vt:lpstr>8 pr</vt:lpstr>
      <vt:lpstr>10 pr</vt:lpstr>
      <vt:lpstr>12 pr</vt:lpstr>
      <vt:lpstr>'1 pr'!Print_Area</vt:lpstr>
      <vt:lpstr>'10 pr'!Print_Area</vt:lpstr>
      <vt:lpstr>'12 pr'!Print_Area</vt:lpstr>
      <vt:lpstr>'3 pr'!Print_Area</vt:lpstr>
      <vt:lpstr>'8 pr'!Print_Area</vt:lpstr>
      <vt:lpstr>'1 pr'!Print_Titles</vt:lpstr>
      <vt:lpstr>'10 pr'!Print_Titles</vt:lpstr>
      <vt:lpstr>'12 pr'!Print_Titles</vt:lpstr>
      <vt:lpstr>'3 pr'!Print_Titles</vt:lpstr>
      <vt:lpstr>'8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2021-12-20T09:19:49Z</cp:lastPrinted>
  <dcterms:created xsi:type="dcterms:W3CDTF">1996-10-14T23:33:28Z</dcterms:created>
  <dcterms:modified xsi:type="dcterms:W3CDTF">2021-12-20T09:19:55Z</dcterms:modified>
</cp:coreProperties>
</file>